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4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8985" windowHeight="8760" tabRatio="944" activeTab="10"/>
  </bookViews>
  <sheets>
    <sheet name="Титульный" sheetId="1" r:id="rId1"/>
    <sheet name="Справочник" sheetId="2" state="veryHidden" r:id="rId2"/>
    <sheet name="Сведения" sheetId="3" r:id="rId3"/>
    <sheet name="Фактич. показатели" sheetId="4" r:id="rId4"/>
    <sheet name="ФХД" sheetId="5" r:id="rId5"/>
    <sheet name="ПП ВС" sheetId="6" r:id="rId6"/>
    <sheet name="ПП ВС (3)" sheetId="7" r:id="rId7"/>
    <sheet name="ВР ПП ВС 2016" sheetId="8" state="veryHidden" r:id="rId8"/>
    <sheet name="Баланс ВС" sheetId="9" r:id="rId9"/>
    <sheet name="Индексы" sheetId="10" r:id="rId10"/>
    <sheet name="Расчет тарифов" sheetId="11" r:id="rId11"/>
    <sheet name="Абоненты" sheetId="12" r:id="rId12"/>
    <sheet name="Материалы" sheetId="13" r:id="rId13"/>
    <sheet name="Ср. тариф ЭЭ" sheetId="14" r:id="rId14"/>
    <sheet name="Расходы ЭЭ" sheetId="15" r:id="rId15"/>
    <sheet name="Численность" sheetId="16" r:id="rId16"/>
    <sheet name="Амортизация" sheetId="17" r:id="rId17"/>
    <sheet name="Тек.ремонты, факт" sheetId="18" r:id="rId18"/>
    <sheet name="Тек.ремонты, план" sheetId="19" r:id="rId19"/>
    <sheet name="Кап.ремонт, факт" sheetId="20" r:id="rId20"/>
    <sheet name="Кап.ремонт, план" sheetId="21" r:id="rId21"/>
    <sheet name="Аренда" sheetId="22" r:id="rId22"/>
    <sheet name="Цех. (произв.) расходы " sheetId="23" r:id="rId23"/>
    <sheet name="Адм. расходы" sheetId="24" r:id="rId24"/>
    <sheet name="Покупная продукция" sheetId="25" r:id="rId25"/>
    <sheet name="водный налог" sheetId="26" r:id="rId26"/>
    <sheet name="земельн. налог " sheetId="27" r:id="rId27"/>
    <sheet name="Мероприятия" sheetId="28" r:id="rId28"/>
    <sheet name="Кап. вложения" sheetId="29" r:id="rId29"/>
    <sheet name="Потери воды" sheetId="30" r:id="rId30"/>
    <sheet name="коррект. НВВ" sheetId="31" r:id="rId31"/>
    <sheet name="Индекс измен. колич. активов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DaNet" localSheetId="2">'[4]TEHSHEET'!$G$2:$G$3</definedName>
    <definedName name="DaNet" localSheetId="3">'[4]TEHSHEET'!$G$2:$G$3</definedName>
    <definedName name="DaNet" localSheetId="4">'[4]TEHSHEET'!$G$2:$G$3</definedName>
    <definedName name="DaNet">'[1]TEHSHEET'!$G$2:$G$3</definedName>
    <definedName name="do_o" localSheetId="2">'[4]Титульный'!$F$64</definedName>
    <definedName name="do_o" localSheetId="3">'[4]Титульный'!$F$64</definedName>
    <definedName name="do_o" localSheetId="4">'[4]Титульный'!$F$64</definedName>
    <definedName name="do_o">'[1]Титульный'!$F$64</definedName>
    <definedName name="mr" localSheetId="2">'[4]Список МО'!$E$14</definedName>
    <definedName name="mr" localSheetId="3">'[4]Список МО'!$E$14</definedName>
    <definedName name="mr" localSheetId="4">'[4]Список МО'!$E$14</definedName>
    <definedName name="mr">'[1]Список МО'!$E$14</definedName>
    <definedName name="org" localSheetId="2">'[4]Титульный'!$F$21</definedName>
    <definedName name="org" localSheetId="3">'[4]Титульный'!$F$21</definedName>
    <definedName name="org" localSheetId="4">'[4]Титульный'!$F$21</definedName>
    <definedName name="org">'[1]Титульный'!$F$21</definedName>
    <definedName name="spr_type_water" localSheetId="28">#REF!</definedName>
    <definedName name="spr_type_water">#REF!</definedName>
    <definedName name="type_pribor" localSheetId="2">'[4]TEHSHEET'!$H$8:$H$10</definedName>
    <definedName name="type_pribor" localSheetId="3">'[4]TEHSHEET'!$H$8:$H$10</definedName>
    <definedName name="type_pribor" localSheetId="4">'[4]TEHSHEET'!$H$8:$H$10</definedName>
    <definedName name="type_pribor">'[1]TEHSHEET'!$H$8:$H$10</definedName>
    <definedName name="version" localSheetId="2">'[5]Инструкция'!$B$3</definedName>
    <definedName name="version" localSheetId="3">'[5]Инструкция'!$B$3</definedName>
    <definedName name="version" localSheetId="4">'[5]Инструкция'!$B$3</definedName>
    <definedName name="version">'[3]Инструкция'!$B$3</definedName>
    <definedName name="версии" localSheetId="28">#REF!</definedName>
    <definedName name="версии">'Справочник'!$A$8:$A$9</definedName>
    <definedName name="версия" localSheetId="2">'[6]Справочники'!$A$7:$A$8</definedName>
    <definedName name="версия" localSheetId="3">'[6]Справочники'!$A$7:$A$8</definedName>
    <definedName name="версия" localSheetId="4">'[6]Справочники'!$A$7:$A$8</definedName>
    <definedName name="версия">'[2]Справочники'!$A$7:$A$8</definedName>
    <definedName name="Вода" localSheetId="28">'[2]Справочники'!#REF!</definedName>
    <definedName name="вода" localSheetId="2">'[7]Справочник'!$A$14:$A$15</definedName>
    <definedName name="вода" localSheetId="3">'[7]Справочник'!$A$14:$A$15</definedName>
    <definedName name="вода" localSheetId="4">'[7]Справочник'!$A$14:$A$15</definedName>
    <definedName name="вода">'Справочник'!$A$14:$A$15</definedName>
    <definedName name="да_нет" localSheetId="7">'Справочник'!#REF!</definedName>
    <definedName name="да_нет" localSheetId="28">'[2]Справочники'!#REF!</definedName>
    <definedName name="да_нет" localSheetId="29">'Справочник'!#REF!</definedName>
    <definedName name="да_нет" localSheetId="6">'Справочник'!#REF!</definedName>
    <definedName name="да_нет" localSheetId="2">'[7]Справочник'!#REF!</definedName>
    <definedName name="да_нет" localSheetId="3">'[7]Справочник'!#REF!</definedName>
    <definedName name="да_нет" localSheetId="4">'[7]Справочник'!#REF!</definedName>
    <definedName name="да_нет">'Справочник'!#REF!</definedName>
    <definedName name="_xlnm.Print_Titles" localSheetId="10">'Расчет тарифов'!$B:$D,'Расчет тарифов'!$13:$16</definedName>
    <definedName name="кураторы" localSheetId="7">'Справочник'!#REF!</definedName>
    <definedName name="кураторы" localSheetId="29">'Справочник'!#REF!</definedName>
    <definedName name="кураторы" localSheetId="6">'Справочник'!#REF!</definedName>
    <definedName name="кураторы" localSheetId="2">'[7]Справочник'!#REF!</definedName>
    <definedName name="кураторы" localSheetId="3">'[7]Справочник'!#REF!</definedName>
    <definedName name="кураторы" localSheetId="4">'[7]Справочник'!#REF!</definedName>
    <definedName name="кураторы">'Справочник'!#REF!</definedName>
    <definedName name="налоги" localSheetId="28">'[2]Справочники'!$A$1:$A$5</definedName>
    <definedName name="налоги" localSheetId="2">'[7]Справочник'!$A$1:$A$5</definedName>
    <definedName name="налоги" localSheetId="3">'[7]Справочник'!$A$1:$A$5</definedName>
    <definedName name="налоги" localSheetId="4">'[7]Справочник'!$A$1:$A$5</definedName>
    <definedName name="налоги">'Справочник'!$A$1:$A$5</definedName>
    <definedName name="_xlnm.Print_Area" localSheetId="8">'Баланс ВС'!$A$1:$J$97</definedName>
    <definedName name="_xlnm.Print_Area" localSheetId="7">'ВР ПП ВС 2016'!$A$1:$J$87</definedName>
    <definedName name="_xlnm.Print_Area" localSheetId="5">'ПП ВС'!$A$1:$J$87</definedName>
    <definedName name="_xlnm.Print_Area" localSheetId="6">'ПП ВС (3)'!$A$1:$J$87</definedName>
    <definedName name="_xlnm.Print_Area" localSheetId="10">'Расчет тарифов'!$A$1:$R$231</definedName>
    <definedName name="регулятор" localSheetId="2">'[7]Справочник'!$A$45:$A$51</definedName>
    <definedName name="регулятор" localSheetId="3">'[7]Справочник'!$A$45:$A$51</definedName>
    <definedName name="регулятор" localSheetId="4">'[7]Справочник'!$A$45:$A$51</definedName>
    <definedName name="регулятор">'Справочник'!$A$45:$A$51</definedName>
    <definedName name="территория" localSheetId="2">'[7]Справочник'!$A$53:$A$124</definedName>
    <definedName name="территория" localSheetId="3">'[7]Справочник'!$A$53:$A$124</definedName>
    <definedName name="территория" localSheetId="4">'[7]Справочник'!$A$53:$A$124</definedName>
    <definedName name="территория">'Справочник'!$A$53:$A$124</definedName>
  </definedNames>
  <calcPr fullCalcOnLoad="1"/>
</workbook>
</file>

<file path=xl/comments11.xml><?xml version="1.0" encoding="utf-8"?>
<comments xmlns="http://schemas.openxmlformats.org/spreadsheetml/2006/main">
  <authors>
    <author>Автор</author>
  </authors>
  <commentList>
    <comment ref="C76" authorId="0">
      <text>
        <r>
          <rPr>
            <sz val="9"/>
            <rFont val="Tahoma"/>
            <family val="2"/>
          </rPr>
          <t>Поставщики добавляются на листе 'Покупная продукция (услуги)'</t>
        </r>
      </text>
    </comment>
  </commentList>
</comments>
</file>

<file path=xl/sharedStrings.xml><?xml version="1.0" encoding="utf-8"?>
<sst xmlns="http://schemas.openxmlformats.org/spreadsheetml/2006/main" count="2989" uniqueCount="1376">
  <si>
    <t>УТВЕРЖДАЮ</t>
  </si>
  <si>
    <t xml:space="preserve">               ФИО руководителя</t>
  </si>
  <si>
    <t>"_____" _______________ г.</t>
  </si>
  <si>
    <t>№
п/п</t>
  </si>
  <si>
    <t>Наименование статей затрат</t>
  </si>
  <si>
    <t>Ед.изм.</t>
  </si>
  <si>
    <t>факт</t>
  </si>
  <si>
    <t>с 01.01.2015 по 30.06.2015</t>
  </si>
  <si>
    <t>индекс, %</t>
  </si>
  <si>
    <t>с 01.01.2016 по 30.06.2016</t>
  </si>
  <si>
    <t>с 01.07.2016 по 31.12.2016</t>
  </si>
  <si>
    <t>с 01.01.2017 по 30.06.2017</t>
  </si>
  <si>
    <t>с 01.07.2017 по 31.12.2017</t>
  </si>
  <si>
    <t>НАТУРАЛЬНЫЕ ПОКАЗАТЕЛИ</t>
  </si>
  <si>
    <t>1.1</t>
  </si>
  <si>
    <t>Объем поднятой воды</t>
  </si>
  <si>
    <t>тыс.м3</t>
  </si>
  <si>
    <t>1.2</t>
  </si>
  <si>
    <t>Объем воды, полученной со стороны</t>
  </si>
  <si>
    <t>1.3</t>
  </si>
  <si>
    <t>Объем воды, используемой на технологические нужды</t>
  </si>
  <si>
    <t>1.3.1</t>
  </si>
  <si>
    <t>Уровень воды, используемой на технологические нужды к объему поднятой воды</t>
  </si>
  <si>
    <t>%</t>
  </si>
  <si>
    <t>1.4</t>
  </si>
  <si>
    <t>Объем воды, пропущенной через очистные сооружения</t>
  </si>
  <si>
    <t>1.5</t>
  </si>
  <si>
    <t>Объем воды, поданной в сеть</t>
  </si>
  <si>
    <t xml:space="preserve"> тыс.м3</t>
  </si>
  <si>
    <t>1.6</t>
  </si>
  <si>
    <t>Потери воды в сети</t>
  </si>
  <si>
    <t>1.6.1</t>
  </si>
  <si>
    <t>Уровень потерь к объему воды, отпущенной в сеть</t>
  </si>
  <si>
    <t>1.7</t>
  </si>
  <si>
    <t>Объем реализации воды всего, в т.ч.</t>
  </si>
  <si>
    <t>1.7.1</t>
  </si>
  <si>
    <t>отпущено воды другим водопроводам</t>
  </si>
  <si>
    <t>1.7.2</t>
  </si>
  <si>
    <t>населению</t>
  </si>
  <si>
    <t>1.7.3</t>
  </si>
  <si>
    <t xml:space="preserve">бюджетным организациям </t>
  </si>
  <si>
    <t>1.7.4</t>
  </si>
  <si>
    <t>прочим потребителям</t>
  </si>
  <si>
    <t>1.7.5</t>
  </si>
  <si>
    <t>собственные нужды предприятия</t>
  </si>
  <si>
    <t>2.1</t>
  </si>
  <si>
    <t>тыс.руб.</t>
  </si>
  <si>
    <t>2.2</t>
  </si>
  <si>
    <t>Электроэнергия всего, в том числе:</t>
  </si>
  <si>
    <t>2.2.1</t>
  </si>
  <si>
    <t>руб.</t>
  </si>
  <si>
    <t>2.2.2</t>
  </si>
  <si>
    <t>тыс.кВт*ч</t>
  </si>
  <si>
    <t>2.3</t>
  </si>
  <si>
    <t>Оплата труда- основных производственных и ремонтных рабочих</t>
  </si>
  <si>
    <t>2.3.1</t>
  </si>
  <si>
    <t>чел.</t>
  </si>
  <si>
    <t>2.3.1.1</t>
  </si>
  <si>
    <t>2.3.1.2</t>
  </si>
  <si>
    <t>цеховый персонал (ЦП)</t>
  </si>
  <si>
    <t>2.3.1.3</t>
  </si>
  <si>
    <t>АУП</t>
  </si>
  <si>
    <t>2.3.2</t>
  </si>
  <si>
    <t>средний размер оплаты труда ОПР и РП</t>
  </si>
  <si>
    <t>2.4</t>
  </si>
  <si>
    <t>Отчисления от оплаты труда (ОПР, РП)</t>
  </si>
  <si>
    <t>тыс. руб.</t>
  </si>
  <si>
    <t>2.4.1</t>
  </si>
  <si>
    <t>Страховые взносы, %</t>
  </si>
  <si>
    <t>2.5</t>
  </si>
  <si>
    <t xml:space="preserve">Амортизация основных производственных фондов   </t>
  </si>
  <si>
    <t>2.5.1</t>
  </si>
  <si>
    <t>первоначальная стоимость ОПФ</t>
  </si>
  <si>
    <t>2.5.2</t>
  </si>
  <si>
    <t>износ ОПФ</t>
  </si>
  <si>
    <t>2.5.3</t>
  </si>
  <si>
    <t>остаточная стоимость ОПФ</t>
  </si>
  <si>
    <t>2.6</t>
  </si>
  <si>
    <t>Текущий ремонт и тех.обслуживание ОС всего, в том числе:</t>
  </si>
  <si>
    <t>2.6.1</t>
  </si>
  <si>
    <t>хозяйственным способом - материалы</t>
  </si>
  <si>
    <t>2.6.2</t>
  </si>
  <si>
    <t>подрядным способом</t>
  </si>
  <si>
    <t>2.7</t>
  </si>
  <si>
    <t>Капитальный ремонт  всего, в том числе:</t>
  </si>
  <si>
    <t>2.7.1</t>
  </si>
  <si>
    <t>2.7.2</t>
  </si>
  <si>
    <t>2.8</t>
  </si>
  <si>
    <t>Арендная плата всего, в том числе:</t>
  </si>
  <si>
    <t>2.8.1</t>
  </si>
  <si>
    <t>за недвижимое имущество</t>
  </si>
  <si>
    <t>2.8.2</t>
  </si>
  <si>
    <t>2.8.3</t>
  </si>
  <si>
    <t>за землю</t>
  </si>
  <si>
    <t>2.8.4</t>
  </si>
  <si>
    <t>прочая аренда</t>
  </si>
  <si>
    <t>2.9</t>
  </si>
  <si>
    <t>2.9.1</t>
  </si>
  <si>
    <t>Оплата труда- цехового персонала</t>
  </si>
  <si>
    <t>2.9.1.1</t>
  </si>
  <si>
    <t>средний размер оплаты труда ЦП</t>
  </si>
  <si>
    <t>2.9.2</t>
  </si>
  <si>
    <t>отчисления от оплаты труда ЦП</t>
  </si>
  <si>
    <t>2.9.3</t>
  </si>
  <si>
    <t>электроэнергия</t>
  </si>
  <si>
    <t>2.9.3.1</t>
  </si>
  <si>
    <t>тыс.кВт.ч</t>
  </si>
  <si>
    <t>2.9.4</t>
  </si>
  <si>
    <t>прочие цеховые расходы</t>
  </si>
  <si>
    <t>2.10</t>
  </si>
  <si>
    <t>2.10.1</t>
  </si>
  <si>
    <t>Оплата труда- АУП</t>
  </si>
  <si>
    <t>2.10.1.1</t>
  </si>
  <si>
    <t>средний размер оплаты труда АУП</t>
  </si>
  <si>
    <t>2.10.2</t>
  </si>
  <si>
    <t>отчисления от оплаты труда АУП</t>
  </si>
  <si>
    <t>2.10.3</t>
  </si>
  <si>
    <t>2.10.3.1</t>
  </si>
  <si>
    <t>2.10.4</t>
  </si>
  <si>
    <t>прочие общеэксплуатационные расходы</t>
  </si>
  <si>
    <t>2.11</t>
  </si>
  <si>
    <t>2.11.1</t>
  </si>
  <si>
    <t>Вода</t>
  </si>
  <si>
    <t>2.11.1.1</t>
  </si>
  <si>
    <t>объем</t>
  </si>
  <si>
    <t>тариф</t>
  </si>
  <si>
    <t>руб/м3</t>
  </si>
  <si>
    <t>2.11.1.2</t>
  </si>
  <si>
    <t>2.11.1.3</t>
  </si>
  <si>
    <t>2.11.1.4</t>
  </si>
  <si>
    <t>2.11.1.5</t>
  </si>
  <si>
    <t>2.11.2</t>
  </si>
  <si>
    <t>Очистка воды</t>
  </si>
  <si>
    <t>2.11.3</t>
  </si>
  <si>
    <t>Транспортировка воды</t>
  </si>
  <si>
    <t>2.11.3.1</t>
  </si>
  <si>
    <t>2.11.3.2</t>
  </si>
  <si>
    <t>2.11.3.3</t>
  </si>
  <si>
    <t>2.12</t>
  </si>
  <si>
    <t>Налоги и сборы всего, в том числе:</t>
  </si>
  <si>
    <t>2.12.1</t>
  </si>
  <si>
    <t>водный налог</t>
  </si>
  <si>
    <t>2.12.2</t>
  </si>
  <si>
    <t>земельный налог</t>
  </si>
  <si>
    <t>2.12.3</t>
  </si>
  <si>
    <t>транспортный налог</t>
  </si>
  <si>
    <t>2.12.4</t>
  </si>
  <si>
    <t>плата за негативное воздействие на окружающую среду</t>
  </si>
  <si>
    <t>2.12.5</t>
  </si>
  <si>
    <t>налог на имущество</t>
  </si>
  <si>
    <t>2.13</t>
  </si>
  <si>
    <t>Расходы на компенсацию экономически обоснованных расходов</t>
  </si>
  <si>
    <t>3</t>
  </si>
  <si>
    <t>Расходы всего</t>
  </si>
  <si>
    <t>3.1</t>
  </si>
  <si>
    <t xml:space="preserve">СЕБЕСТОИМОСТЬ  </t>
  </si>
  <si>
    <t>СЕБЕСТОИМОСТЬ  (без учета покупной продукции)</t>
  </si>
  <si>
    <t>4</t>
  </si>
  <si>
    <t>Внереализационные расходы всего, в том числе:</t>
  </si>
  <si>
    <t>4.1</t>
  </si>
  <si>
    <t>расходы на оплату услуг банков</t>
  </si>
  <si>
    <t>4.2</t>
  </si>
  <si>
    <t>% по займам и кредитам банков</t>
  </si>
  <si>
    <t>4.3</t>
  </si>
  <si>
    <t>5</t>
  </si>
  <si>
    <t>Прибыль всего, в том числе:</t>
  </si>
  <si>
    <t>5.1</t>
  </si>
  <si>
    <t>5.2</t>
  </si>
  <si>
    <t>Расходы, относимые на прибыль после налогообложения всего, в  том числе:</t>
  </si>
  <si>
    <t>5.2.1</t>
  </si>
  <si>
    <t>капитальные вложения на производство</t>
  </si>
  <si>
    <t>прибыль на социальное развитие</t>
  </si>
  <si>
    <t>6</t>
  </si>
  <si>
    <t>Предпринимательская прибыль ГО</t>
  </si>
  <si>
    <t>7</t>
  </si>
  <si>
    <t>НЕОБХОДИМАЯ ВАЛОВАЯ ВЫРУЧКА</t>
  </si>
  <si>
    <t>7.1</t>
  </si>
  <si>
    <t>Производственные расходы</t>
  </si>
  <si>
    <t>7.2</t>
  </si>
  <si>
    <t>Ремонтные расходы</t>
  </si>
  <si>
    <t>7.3</t>
  </si>
  <si>
    <t>Административные расходы</t>
  </si>
  <si>
    <t>Сбытовые расходы гарантирующих организаций</t>
  </si>
  <si>
    <t xml:space="preserve">Расходы на амортизацию ОС и НМА </t>
  </si>
  <si>
    <t>Расходы на арендную плату, лизинговые платежи, концессионную плату</t>
  </si>
  <si>
    <t>Расходы, связанные с уплатой налогов и сборов</t>
  </si>
  <si>
    <t>Нормативная прибыль</t>
  </si>
  <si>
    <t>8</t>
  </si>
  <si>
    <t xml:space="preserve">Экономически обоснованный тариф </t>
  </si>
  <si>
    <t>9</t>
  </si>
  <si>
    <t>Рост тарифа к предыдущему периоду</t>
  </si>
  <si>
    <t>10</t>
  </si>
  <si>
    <t>Инвестиционная надбавка</t>
  </si>
  <si>
    <t>11</t>
  </si>
  <si>
    <t>Экономически обоснованный тариф с инвестиционной надбавкой</t>
  </si>
  <si>
    <t>12</t>
  </si>
  <si>
    <t>Рост тарифа с инвестиционной надбавкой к предыдущему периоду</t>
  </si>
  <si>
    <t>13</t>
  </si>
  <si>
    <t xml:space="preserve">Нормативный уровень прибыли                                              </t>
  </si>
  <si>
    <t>14</t>
  </si>
  <si>
    <t>Расчет НВВ с применением метода индексации</t>
  </si>
  <si>
    <t>Текущие расходы ИТОГО:</t>
  </si>
  <si>
    <t>Х</t>
  </si>
  <si>
    <t>расходы на приобретение ЭЭ (мощности), тепловой энергии, топлива, других видов энергетический ресурсов и холодной воды</t>
  </si>
  <si>
    <t>неподконтрольные расходы</t>
  </si>
  <si>
    <t xml:space="preserve">Расходы на амортизации ОС и НМА </t>
  </si>
  <si>
    <t>Индекс эффективности операционных расходов</t>
  </si>
  <si>
    <t>Индекс изменения количества активов</t>
  </si>
  <si>
    <t>Долгосрочные параметры регулирования тарифов</t>
  </si>
  <si>
    <t>Базовый уровень операционных расходов</t>
  </si>
  <si>
    <t>Нормативный уровень прибыли</t>
  </si>
  <si>
    <t>Показатели энергосбережения и энергетической эффективности:</t>
  </si>
  <si>
    <t>уровень потерь воды</t>
  </si>
  <si>
    <t>удельный расход ЭЭ</t>
  </si>
  <si>
    <t>кВт*ч/м3</t>
  </si>
  <si>
    <t>СОГЛАСОВАНО:</t>
  </si>
  <si>
    <t>Муниципальные образования Московской области</t>
  </si>
  <si>
    <t>"______"_____________________г.</t>
  </si>
  <si>
    <t>на территориях которых оказывается услуга</t>
  </si>
  <si>
    <t>М.П.</t>
  </si>
  <si>
    <t>№ 
п/п</t>
  </si>
  <si>
    <t>Единица измерения</t>
  </si>
  <si>
    <t>кВт.ч.</t>
  </si>
  <si>
    <t>очистка воды</t>
  </si>
  <si>
    <t>население</t>
  </si>
  <si>
    <t>прочие потребители</t>
  </si>
  <si>
    <t>3.0</t>
  </si>
  <si>
    <t>4.4</t>
  </si>
  <si>
    <t>4.5</t>
  </si>
  <si>
    <t>4.6</t>
  </si>
  <si>
    <t xml:space="preserve">Раздел 1. Паспорт производственной программы </t>
  </si>
  <si>
    <t>Регулируемая организация</t>
  </si>
  <si>
    <t>местонахождение</t>
  </si>
  <si>
    <t>Уполномоченный орган регулирования</t>
  </si>
  <si>
    <t>Комитет по ценам и тарифам Московской области</t>
  </si>
  <si>
    <t>143407, Московская область, г.Красногорск-7, бульвар Строителей, д. 1</t>
  </si>
  <si>
    <t>Период реализации производственной программы</t>
  </si>
  <si>
    <t>Раздел 2. Показатели производственной программы</t>
  </si>
  <si>
    <t>№ п/п</t>
  </si>
  <si>
    <t>Наименование показателя</t>
  </si>
  <si>
    <t>Значение показателя</t>
  </si>
  <si>
    <t>с 01.01.2016               по 30.06.2016</t>
  </si>
  <si>
    <t>с 01.07.2016               по 31.12.2016</t>
  </si>
  <si>
    <t>с 01.01.2017               по 30.06.2017</t>
  </si>
  <si>
    <t>Планируемый объем подачи воды (реализация)</t>
  </si>
  <si>
    <t>тыс.куб.м</t>
  </si>
  <si>
    <t>Объем финансовых потребностей, необходимых для реализации производственной программы (НВВ)</t>
  </si>
  <si>
    <t>График реализации мероприятий производственной программы</t>
  </si>
  <si>
    <t>с 01.01.2016 по 31.12.2016</t>
  </si>
  <si>
    <t>с 01.01.2017 по 31.12.2017</t>
  </si>
  <si>
    <t>Плановые значения показателей надежности, качества и энергетической эффективности объектов централизованных систем водоснабжения</t>
  </si>
  <si>
    <t>5.1.</t>
  </si>
  <si>
    <t>Показатели качества питьевой воды</t>
  </si>
  <si>
    <t>5.1.1</t>
  </si>
  <si>
    <r>
      <t xml:space="preserve">Дпс </t>
    </r>
    <r>
      <rPr>
        <sz val="12"/>
        <rFont val="Times New Roman"/>
        <family val="1"/>
      </rPr>
      <t>- 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  </r>
  </si>
  <si>
    <t>Дпс = (Кнп / Кп) х 100</t>
  </si>
  <si>
    <r>
      <rPr>
        <b/>
        <sz val="12"/>
        <rFont val="Times New Roman"/>
        <family val="1"/>
      </rPr>
      <t>Кнп</t>
    </r>
    <r>
      <rPr>
        <sz val="12"/>
        <rFont val="Times New Roman"/>
        <family val="1"/>
      </rPr>
      <t xml:space="preserve"> - количество проб питьевой воды, отобранных по результатам производственного контроля, не соответствующих установленным требованиям</t>
    </r>
  </si>
  <si>
    <t>ед.</t>
  </si>
  <si>
    <r>
      <t xml:space="preserve">Кп </t>
    </r>
    <r>
      <rPr>
        <sz val="12"/>
        <rFont val="Times New Roman"/>
        <family val="1"/>
      </rPr>
      <t>- общее количество отобранных проб</t>
    </r>
  </si>
  <si>
    <t>5.1.2</t>
  </si>
  <si>
    <r>
      <t xml:space="preserve">Дпрс </t>
    </r>
    <r>
      <rPr>
        <sz val="12"/>
        <rFont val="Times New Roman"/>
        <family val="1"/>
      </rPr>
      <t>- 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  </r>
  </si>
  <si>
    <t>Дпрс = (Кпрс / Кп) х 100</t>
  </si>
  <si>
    <r>
      <rPr>
        <b/>
        <sz val="12"/>
        <rFont val="Times New Roman"/>
        <family val="1"/>
      </rPr>
      <t>Кпрс</t>
    </r>
    <r>
      <rPr>
        <sz val="12"/>
        <rFont val="Times New Roman"/>
        <family val="1"/>
      </rPr>
      <t xml:space="preserve"> - 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  </r>
  </si>
  <si>
    <t>5.2.</t>
  </si>
  <si>
    <t>Показатели надежности и бесперебойности водоснабжения</t>
  </si>
  <si>
    <r>
      <t xml:space="preserve">Пн </t>
    </r>
    <r>
      <rPr>
        <sz val="12"/>
        <rFont val="Times New Roman"/>
        <family val="1"/>
      </rPr>
      <t xml:space="preserve">- 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</t>
    </r>
  </si>
  <si>
    <t>ед./км</t>
  </si>
  <si>
    <t>Пн = Ка/п / Lсети</t>
  </si>
  <si>
    <r>
      <rPr>
        <b/>
        <sz val="12"/>
        <rFont val="Times New Roman"/>
        <family val="1"/>
      </rPr>
      <t>Ка/п</t>
    </r>
    <r>
      <rPr>
        <sz val="12"/>
        <rFont val="Times New Roman"/>
        <family val="1"/>
      </rPr>
      <t xml:space="preserve"> - 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воды,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</t>
    </r>
  </si>
  <si>
    <r>
      <t xml:space="preserve">Lсети </t>
    </r>
    <r>
      <rPr>
        <sz val="12"/>
        <rFont val="Times New Roman"/>
        <family val="1"/>
      </rPr>
      <t>- протяженность водопроводной сети</t>
    </r>
  </si>
  <si>
    <t>км</t>
  </si>
  <si>
    <t>5.3.</t>
  </si>
  <si>
    <t>Показатели энергетической эффективности</t>
  </si>
  <si>
    <t>5.3.1</t>
  </si>
  <si>
    <r>
      <t xml:space="preserve">Дпв -  </t>
    </r>
    <r>
      <rPr>
        <sz val="12"/>
        <rFont val="Times New Roman"/>
        <family val="1"/>
      </rPr>
      <t>доля потерь воды в централизованных системах водоснабжения при ее транспортировке в общем объеме воды, поданной в водопроводную сеть</t>
    </r>
  </si>
  <si>
    <t>Дпв =  (Vпот / Vобщ) х 100</t>
  </si>
  <si>
    <r>
      <rPr>
        <b/>
        <sz val="12"/>
        <rFont val="Times New Roman"/>
        <family val="1"/>
      </rPr>
      <t>Vпот</t>
    </r>
    <r>
      <rPr>
        <sz val="12"/>
        <rFont val="Times New Roman"/>
        <family val="1"/>
      </rPr>
      <t xml:space="preserve"> - объем потерь воды в централизованных системах водоснабжения при ее транспортировке </t>
    </r>
  </si>
  <si>
    <t>куб.м.</t>
  </si>
  <si>
    <r>
      <rPr>
        <b/>
        <sz val="12"/>
        <rFont val="Times New Roman"/>
        <family val="1"/>
      </rPr>
      <t>Vобщ</t>
    </r>
    <r>
      <rPr>
        <sz val="12"/>
        <rFont val="Times New Roman"/>
        <family val="1"/>
      </rPr>
      <t xml:space="preserve"> - общий объем воды, поданной в водопроводную сеть</t>
    </r>
  </si>
  <si>
    <t>5.3.2</t>
  </si>
  <si>
    <t>1</t>
  </si>
  <si>
    <t>Дпс</t>
  </si>
  <si>
    <t>Сопоставление динамики</t>
  </si>
  <si>
    <t>х</t>
  </si>
  <si>
    <t>Дпрс</t>
  </si>
  <si>
    <t>2</t>
  </si>
  <si>
    <t>Пн</t>
  </si>
  <si>
    <t>Урп</t>
  </si>
  <si>
    <t>Раздел 4. Отчет об исполнении производственной программы за истекший период регулирования</t>
  </si>
  <si>
    <t>Фактический объем финансовых потребностей</t>
  </si>
  <si>
    <t>Раздел 5. Мероприятия, направленные на повышение качества обслуживания абонентов</t>
  </si>
  <si>
    <t>Устранение в кратчайшие сроки аварий и повреждений, изучение их причин с целью предупреждения появления в будущем</t>
  </si>
  <si>
    <t>Своевременное реагирование на жалобы абонентов</t>
  </si>
  <si>
    <t>с 01.07.2017              по 31.12.2017</t>
  </si>
  <si>
    <t>с 01.01.2018               по 30.06.2018</t>
  </si>
  <si>
    <t>с 01.07.2018               по 31.12.2018</t>
  </si>
  <si>
    <r>
      <t>Перечень плановых мероприятий по ремонту объектов централизованных систем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транспортировке, всего, в том числе</t>
    </r>
    <r>
      <rPr>
        <b/>
        <sz val="12"/>
        <color indexed="8"/>
        <rFont val="Times New Roman"/>
        <family val="1"/>
      </rPr>
      <t>:</t>
    </r>
  </si>
  <si>
    <t>с 01.01.2018 по 31.12.2018</t>
  </si>
  <si>
    <t>Величина показателя базового уровня (2015 год)*</t>
  </si>
  <si>
    <t>Величина показателя планируемого уровня (2016 год)</t>
  </si>
  <si>
    <t>Величина показателя                                    планируемого уровня (2017 год)</t>
  </si>
  <si>
    <t>Величина показателя                             планируемого уровня (2018 год)</t>
  </si>
  <si>
    <t>2014 год</t>
  </si>
  <si>
    <t>кВт*ч/              куб.м</t>
  </si>
  <si>
    <t>кВт*ч/            куб.м</t>
  </si>
  <si>
    <t xml:space="preserve">       __________________________</t>
  </si>
  <si>
    <t>план c 01.07.2014 по 31.12.2014</t>
  </si>
  <si>
    <t>Сырье и материалы (химические реагенты)</t>
  </si>
  <si>
    <t>СМЕТА РАСХОДОВ</t>
  </si>
  <si>
    <t>объем электроэнергии</t>
  </si>
  <si>
    <t xml:space="preserve">основные производственные рабочие (ОПР) </t>
  </si>
  <si>
    <t>ремонтный персонал (РП)</t>
  </si>
  <si>
    <t>2.3.1.4</t>
  </si>
  <si>
    <t>Численность - всего, в том числе:</t>
  </si>
  <si>
    <t>Покупная продукция (услуги, выполняемы сторонными организациями)</t>
  </si>
  <si>
    <t>концессионная плата и лизинговые платежи</t>
  </si>
  <si>
    <t>Корректировка НВВ</t>
  </si>
  <si>
    <t>Отклонение фактических значений индекса потребительских цен и других индексов, предусмотренных прогнозом социально-экономического развития Российской Федерации</t>
  </si>
  <si>
    <t>Отклонение фактически достигнутого уровня неподконтрольных расходов</t>
  </si>
  <si>
    <t>Изменение доходности долгосрочных государственных обязательств</t>
  </si>
  <si>
    <t>Общеэксплуатационные (административные) расходы всего, в том числе:</t>
  </si>
  <si>
    <t>Цеховые (производственные) расходы всего, в том числе:</t>
  </si>
  <si>
    <t>Перечень абонентов в разрезе групп потребителей</t>
  </si>
  <si>
    <t>№            п/п</t>
  </si>
  <si>
    <t>Наименование потребителя</t>
  </si>
  <si>
    <t>Дата договора в хронологическом порядке</t>
  </si>
  <si>
    <t>Номер договора</t>
  </si>
  <si>
    <t>Наличие прибора учета
(счетчик / норматив)</t>
  </si>
  <si>
    <t xml:space="preserve"> Объем реализации (тыс.куб.м.)</t>
  </si>
  <si>
    <t>план</t>
  </si>
  <si>
    <t xml:space="preserve">план </t>
  </si>
  <si>
    <t>Другие водопроводы</t>
  </si>
  <si>
    <t>1.0</t>
  </si>
  <si>
    <t>Население или исполнители коммунальных услуг (УК, ЖСК, ТСЖ и др.)</t>
  </si>
  <si>
    <t>2.0</t>
  </si>
  <si>
    <t>Бюджетные организации</t>
  </si>
  <si>
    <t>Прочие потребители</t>
  </si>
  <si>
    <t>4.0</t>
  </si>
  <si>
    <t>Собственные нужды предприятия, всего</t>
  </si>
  <si>
    <t>Итого</t>
  </si>
  <si>
    <t>Наименование химреагентов</t>
  </si>
  <si>
    <t>Удельная норма расхода</t>
  </si>
  <si>
    <t>Объем воды для расчета</t>
  </si>
  <si>
    <t>Необходимое кол-во химреагентов (материалов)</t>
  </si>
  <si>
    <t>Стоимость
без НДС</t>
  </si>
  <si>
    <t>Облагается НДС
да / нет</t>
  </si>
  <si>
    <t>Стоимость
с НДС</t>
  </si>
  <si>
    <t>кг/тыс.м3</t>
  </si>
  <si>
    <t>тонн/год</t>
  </si>
  <si>
    <t>1.18 / 1.00</t>
  </si>
  <si>
    <t>Должностное лицо, ответственное за составление формы:</t>
  </si>
  <si>
    <t>Реагенты</t>
  </si>
  <si>
    <t>Материалы и малоценные основные средства</t>
  </si>
  <si>
    <t>3.2</t>
  </si>
  <si>
    <t>3.3</t>
  </si>
  <si>
    <t>Горюче-смазочные материалы</t>
  </si>
  <si>
    <t>Дата счет-фактуры на электроэнергию</t>
  </si>
  <si>
    <t>Номер счет-фактуры на электроэнергию</t>
  </si>
  <si>
    <t>Количество (объем) электроэнергии - всего</t>
  </si>
  <si>
    <t>Стоимость электроэнергии с НДС -
 всего</t>
  </si>
  <si>
    <t>Cреднегодовая стоимость 1 кВт.ч. электроэнергии, руб.</t>
  </si>
  <si>
    <t>Руководитель организации</t>
  </si>
  <si>
    <t>Виды деятельности</t>
  </si>
  <si>
    <t>Расход электроэнергии, кВт.ч.</t>
  </si>
  <si>
    <t>на технологические нужды</t>
  </si>
  <si>
    <t>относящийся к цеховым расходам</t>
  </si>
  <si>
    <t>относящийся к общеэксплуатационным расходам</t>
  </si>
  <si>
    <t>Всего</t>
  </si>
  <si>
    <t>Водоснабжение</t>
  </si>
  <si>
    <t>Добавить вид деятельности</t>
  </si>
  <si>
    <t>Водоотведение</t>
  </si>
  <si>
    <t>Теплоснабжение</t>
  </si>
  <si>
    <t>Прочая деятельность</t>
  </si>
  <si>
    <t>ИТОГО</t>
  </si>
  <si>
    <t>Стоимость электроэнергии             без НДС - всего</t>
  </si>
  <si>
    <t>Наименование оборудования</t>
  </si>
  <si>
    <t>Мощность оборудования</t>
  </si>
  <si>
    <t>Коэффициент использования</t>
  </si>
  <si>
    <t>Продолжитель-ность работы</t>
  </si>
  <si>
    <t>Расход
электроэнергии</t>
  </si>
  <si>
    <t>кВт</t>
  </si>
  <si>
    <t>часов в день</t>
  </si>
  <si>
    <t>дней в году</t>
  </si>
  <si>
    <t>кВт.ч</t>
  </si>
  <si>
    <t>На технологические нужды</t>
  </si>
  <si>
    <t>На цеховые нужды</t>
  </si>
  <si>
    <t>На общеэксплуатационные нужды</t>
  </si>
  <si>
    <t>Объем поднятой воды, м3</t>
  </si>
  <si>
    <t>Удельный расход электроэнергии на 1 м3, кВт.ч.</t>
  </si>
  <si>
    <t>Расчет численности и средней заработной платы персонала</t>
  </si>
  <si>
    <t>Должность персонала</t>
  </si>
  <si>
    <t>Перечень оборудования и его характеристика, основные задачи</t>
  </si>
  <si>
    <t>Количество работников по нормативу</t>
  </si>
  <si>
    <t>Количество работников по штатному расписанию</t>
  </si>
  <si>
    <t>Численность работников в отчетном периоде</t>
  </si>
  <si>
    <t>Годовой фонд оплаты труда</t>
  </si>
  <si>
    <t>Среднемесячный размер оплаты труда</t>
  </si>
  <si>
    <t>Планируемое количество работников на регулируемый период</t>
  </si>
  <si>
    <t>Должностной оклад</t>
  </si>
  <si>
    <t>Доплаты к окладу согласно коллективному договору</t>
  </si>
  <si>
    <t>Месячный фонд оплаты труда</t>
  </si>
  <si>
    <t>Коэф-т</t>
  </si>
  <si>
    <t>Сумма</t>
  </si>
  <si>
    <t>Цеховый персонал</t>
  </si>
  <si>
    <t>Административно-управленческий персонал</t>
  </si>
  <si>
    <t>Итого по всем категориям</t>
  </si>
  <si>
    <t>Расчет численности и фонда оплаты труда за отчетный период в целом по предприятию</t>
  </si>
  <si>
    <t>Отчетный период</t>
  </si>
  <si>
    <t>Численность, чел.</t>
  </si>
  <si>
    <t>Фонд оплаты труда, руб.</t>
  </si>
  <si>
    <t>Основные производственные рабочие</t>
  </si>
  <si>
    <t>Основные ремонтные рабочие</t>
  </si>
  <si>
    <t>Расчет амортизационных отчислений ОС</t>
  </si>
  <si>
    <t>Наименование ОС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</si>
  <si>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</si>
  <si>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</si>
  <si>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</si>
  <si>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</t>
  </si>
  <si>
    <t>Амортизация ОС цехового назначения</t>
  </si>
  <si>
    <t>Амортизация ОС общехозяйственного назначения</t>
  </si>
  <si>
    <t>3.4</t>
  </si>
  <si>
    <t>3.5</t>
  </si>
  <si>
    <t>Материалы</t>
  </si>
  <si>
    <t>Наименование материалов,
единица измерения</t>
  </si>
  <si>
    <t>Плановая цена</t>
  </si>
  <si>
    <t>Кол-во</t>
  </si>
  <si>
    <t>Стоимость,
без НДС</t>
  </si>
  <si>
    <t>Стоимость,
с НДС</t>
  </si>
  <si>
    <t>единиц</t>
  </si>
  <si>
    <t>Подрядный способ</t>
  </si>
  <si>
    <t>Наименование планируемых работ</t>
  </si>
  <si>
    <t>Сметная стоимость,
без НДС</t>
  </si>
  <si>
    <t>Сметная стоимость,
с НДС</t>
  </si>
  <si>
    <t>Примечание: Указанная форма заполняется отдельно по водоснабжению, водоотведению</t>
  </si>
  <si>
    <t>Наименование поставщика</t>
  </si>
  <si>
    <t>Наименование организации-подрядчика</t>
  </si>
  <si>
    <t>Дата договора</t>
  </si>
  <si>
    <t>Предмет договора
(вид работ)</t>
  </si>
  <si>
    <t>Дата акта выполненных работ</t>
  </si>
  <si>
    <t>Номер акта выполненных работ</t>
  </si>
  <si>
    <t>Дата счет-фактуры</t>
  </si>
  <si>
    <t>Номер счет-фактуры</t>
  </si>
  <si>
    <t>Арендодатель</t>
  </si>
  <si>
    <t>Дата
договора аренды</t>
  </si>
  <si>
    <t>Номер
договора аренды</t>
  </si>
  <si>
    <t>Предмет аренды</t>
  </si>
  <si>
    <t>Срок действия
договора аренды</t>
  </si>
  <si>
    <t>Месячный размер арендной платы</t>
  </si>
  <si>
    <t>Кол-во месяцев аренды в отчетном периоде</t>
  </si>
  <si>
    <t>Размер арендной платы в отчетном периоде, всего</t>
  </si>
  <si>
    <t>в том числе по видам деятельности</t>
  </si>
  <si>
    <t>начало</t>
  </si>
  <si>
    <t>окончание</t>
  </si>
  <si>
    <t>водоснабжение</t>
  </si>
  <si>
    <t>в т.ч. в текущей тарифной заявке</t>
  </si>
  <si>
    <t>водоотведение</t>
  </si>
  <si>
    <t>теплоснабжение</t>
  </si>
  <si>
    <t>прочая деятель-ность</t>
  </si>
  <si>
    <t>тыс.руб</t>
  </si>
  <si>
    <t>месяцы</t>
  </si>
  <si>
    <t>Аренда имущества</t>
  </si>
  <si>
    <t>Концессионная плата</t>
  </si>
  <si>
    <t>Лизинговые платежи</t>
  </si>
  <si>
    <t>Аренда земельных участков</t>
  </si>
  <si>
    <t>Наименование расходов</t>
  </si>
  <si>
    <t>Отчетный период
2013 год</t>
  </si>
  <si>
    <t>расчет</t>
  </si>
  <si>
    <t>с 01.07.2015 по 31.12.2015</t>
  </si>
  <si>
    <t>Оплата труда цехового персонала</t>
  </si>
  <si>
    <t>численность цехового персонала</t>
  </si>
  <si>
    <t xml:space="preserve">Отчисления на социальные нужды </t>
  </si>
  <si>
    <t>Электроэнергия</t>
  </si>
  <si>
    <t>среднегодовая стоимость 1 Квт.ч</t>
  </si>
  <si>
    <t>Амортизация основных средств цехового назначения</t>
  </si>
  <si>
    <t>Затраты на ремонт
цехового оборудования</t>
  </si>
  <si>
    <t>Коммунальные платежи</t>
  </si>
  <si>
    <t>Охрана труда</t>
  </si>
  <si>
    <t>Контроль качества воды</t>
  </si>
  <si>
    <t>Расходы на аварийно-диспетчерское обслуживание</t>
  </si>
  <si>
    <t>Оплата труда АУП</t>
  </si>
  <si>
    <t>численность АУП</t>
  </si>
  <si>
    <t>Амортизация основных средств общехозяйственного назначения</t>
  </si>
  <si>
    <t>Затраты на ремонт общеэксплуатационного оборудования</t>
  </si>
  <si>
    <t>Транспортные расходы</t>
  </si>
  <si>
    <t>Лицензии</t>
  </si>
  <si>
    <t>Показатель распределения по учетной политике предприятия</t>
  </si>
  <si>
    <t>Доля
расходов,
%</t>
  </si>
  <si>
    <t>Распределение общеэксплуа-тационных расходов по видам деятельности</t>
  </si>
  <si>
    <t>Общеэкплуатационные расходы в целом по предприятию</t>
  </si>
  <si>
    <t>Прочие производственные расходы</t>
  </si>
  <si>
    <t>Расчет административных расходов</t>
  </si>
  <si>
    <t>услуги связи и интернет</t>
  </si>
  <si>
    <t>юридические услуги</t>
  </si>
  <si>
    <t>аудиторские услуги</t>
  </si>
  <si>
    <t>консультационные услуги</t>
  </si>
  <si>
    <t>услуги по вневедомственной охране объектов и территорий</t>
  </si>
  <si>
    <t>информационные услуги</t>
  </si>
  <si>
    <t>Служебные командировки</t>
  </si>
  <si>
    <t>Обучение персонала</t>
  </si>
  <si>
    <t>Страхование производственных объектов</t>
  </si>
  <si>
    <t>9.1</t>
  </si>
  <si>
    <t>Прочие административные расходы</t>
  </si>
  <si>
    <t xml:space="preserve">Канц.товары </t>
  </si>
  <si>
    <t>9.2</t>
  </si>
  <si>
    <t>Расчет затрат на покупную продукцию (услугу)</t>
  </si>
  <si>
    <t>Наименование поставщика товара (услуги)</t>
  </si>
  <si>
    <t>Покупаемый товар (услуга)</t>
  </si>
  <si>
    <t>отчетный период</t>
  </si>
  <si>
    <t>предшествующий период</t>
  </si>
  <si>
    <t>регулируемый период</t>
  </si>
  <si>
    <t>объем год</t>
  </si>
  <si>
    <t>ст-ть</t>
  </si>
  <si>
    <t>объем
6 мес</t>
  </si>
  <si>
    <t>объем
год</t>
  </si>
  <si>
    <t>рублей</t>
  </si>
  <si>
    <t>Вода:</t>
  </si>
  <si>
    <t>вода</t>
  </si>
  <si>
    <t>Очистка воды:</t>
  </si>
  <si>
    <t>Транспортировка воды:</t>
  </si>
  <si>
    <t>транспортирование воды</t>
  </si>
  <si>
    <t>Информация о лицензиях на право пользования недрами</t>
  </si>
  <si>
    <t xml:space="preserve">№ п/п </t>
  </si>
  <si>
    <t>Лицензия на право пользования недрами</t>
  </si>
  <si>
    <t>Лимит водоотбора, тыс.м3/год</t>
  </si>
  <si>
    <t>серия</t>
  </si>
  <si>
    <t>номер</t>
  </si>
  <si>
    <t>вид лицензии</t>
  </si>
  <si>
    <t>срок окончания действия
(число, месяц, год)</t>
  </si>
  <si>
    <t>Код налогового органа, в который предоставляется декларация</t>
  </si>
  <si>
    <t>Население</t>
  </si>
  <si>
    <t>Общая сумма по декларации</t>
  </si>
  <si>
    <t>в пределах лимита</t>
  </si>
  <si>
    <t>налоговая ставка</t>
  </si>
  <si>
    <t>сумма налога</t>
  </si>
  <si>
    <t>сверх лимита</t>
  </si>
  <si>
    <t>руб./тыс.м3</t>
  </si>
  <si>
    <t>1 квартал</t>
  </si>
  <si>
    <t>Итого 1 квартал</t>
  </si>
  <si>
    <t>2 квартал</t>
  </si>
  <si>
    <t>Итого 2 квартал</t>
  </si>
  <si>
    <t>3 квартал</t>
  </si>
  <si>
    <t>Итого 3 квартал</t>
  </si>
  <si>
    <t>4 квартал</t>
  </si>
  <si>
    <t>Итого 4 квартал</t>
  </si>
  <si>
    <t>Ед.измерения</t>
  </si>
  <si>
    <t>Регулируемый период</t>
  </si>
  <si>
    <t>Водоотбор</t>
  </si>
  <si>
    <t>Годовая сумма налога</t>
  </si>
  <si>
    <t>Расчет земельного налога за отчетный период</t>
  </si>
  <si>
    <t>Кадастровый номер земельного участка</t>
  </si>
  <si>
    <t>Площадь земельного участка</t>
  </si>
  <si>
    <t xml:space="preserve">Кадастровая стоимость земельного участка                 </t>
  </si>
  <si>
    <t>Налоговая ставка</t>
  </si>
  <si>
    <t xml:space="preserve">Сумма налога по организации всего </t>
  </si>
  <si>
    <t>м2</t>
  </si>
  <si>
    <t>Наименование</t>
  </si>
  <si>
    <t>Итого НВВ для расчета тарифа</t>
  </si>
  <si>
    <t>Отклонение фактически достигнутого объема поданной воды</t>
  </si>
  <si>
    <t>Ввод объектов системы водоснабжения в эксплуатацию и изменение утвержденной инвестиционной программы</t>
  </si>
  <si>
    <t>Степень исполнения регулируемой организацией обязательств по созданию и (или) реконструкции объектов концессионного соглашения, по эксплуатации объектов по договору аренды централизованных систем горячего и (или) холодного водоснабжения, отдельных объектов таких систем, находящихся в государственной или муниципальной собственности, по реализации инвестиционной программы, производственной программы при недостижении регулируемой организацией утвержденных плановых значений показателей надежности и качества объектов централизованных систем водоснабжения.</t>
  </si>
  <si>
    <t>Баланс водоснабжения</t>
  </si>
  <si>
    <t>2015 год</t>
  </si>
  <si>
    <t>2016 год</t>
  </si>
  <si>
    <t>2017 год</t>
  </si>
  <si>
    <t>2018 год</t>
  </si>
  <si>
    <t>Объем воды из источников водоснабжения:</t>
  </si>
  <si>
    <t>1.1.1</t>
  </si>
  <si>
    <t>из поверхностных источников</t>
  </si>
  <si>
    <t>1.1.2</t>
  </si>
  <si>
    <t>из подземных источников</t>
  </si>
  <si>
    <t>1.1.3</t>
  </si>
  <si>
    <t>доочищенная сточная вода для нужд технического водоснабжения</t>
  </si>
  <si>
    <t>Объем воды, прошедшей водоподготовку</t>
  </si>
  <si>
    <t>Объем технической воды, поданной в сеть</t>
  </si>
  <si>
    <t>Объем питьевой воды, поданной в сеть</t>
  </si>
  <si>
    <t>Приготовление горячей воды</t>
  </si>
  <si>
    <t>Объем воды из собственных источников</t>
  </si>
  <si>
    <t>Объем приобретенной питьевой воды</t>
  </si>
  <si>
    <t>Объем горячей воды, поданной в сеть</t>
  </si>
  <si>
    <t>Транспортировка питьевой воды</t>
  </si>
  <si>
    <t>Объем воды, поступившей в сеть:</t>
  </si>
  <si>
    <t>3.1.1</t>
  </si>
  <si>
    <t>из собственных источников</t>
  </si>
  <si>
    <t>3.1.2</t>
  </si>
  <si>
    <t>от других операторов</t>
  </si>
  <si>
    <t>3.1.3</t>
  </si>
  <si>
    <t>получено от других территорий, дифференцированных по тарифу</t>
  </si>
  <si>
    <t>Потери воды</t>
  </si>
  <si>
    <t>Потребление на собственные нужды</t>
  </si>
  <si>
    <t>Объем воды, отпущенной из сети</t>
  </si>
  <si>
    <t>Передано на другие территории, дифференцированные по тарифу</t>
  </si>
  <si>
    <t>Транспортировка технической воды</t>
  </si>
  <si>
    <t>Объем воды, поступившей в сеть</t>
  </si>
  <si>
    <t>Транспортировка горячей воды</t>
  </si>
  <si>
    <t>5.3</t>
  </si>
  <si>
    <t>5.4</t>
  </si>
  <si>
    <t>Отпуск питьевой воды</t>
  </si>
  <si>
    <t>6.1</t>
  </si>
  <si>
    <t>Объем воды, отпущенной абонентам:</t>
  </si>
  <si>
    <t>6.1.1</t>
  </si>
  <si>
    <t>по приборам учета</t>
  </si>
  <si>
    <t>6.1.2</t>
  </si>
  <si>
    <t>по нормативам</t>
  </si>
  <si>
    <t>6.2</t>
  </si>
  <si>
    <t>для приготовления горячей воды</t>
  </si>
  <si>
    <t>6.3</t>
  </si>
  <si>
    <t>при дифференциации тарифов по объему</t>
  </si>
  <si>
    <t>6.3.1</t>
  </si>
  <si>
    <t>в пределах i-го объема</t>
  </si>
  <si>
    <t>6.4</t>
  </si>
  <si>
    <t>По абонентам</t>
  </si>
  <si>
    <t>6.4.1</t>
  </si>
  <si>
    <t>другим организациям, осуществляющим водоснабжение</t>
  </si>
  <si>
    <t>6.4.1.1</t>
  </si>
  <si>
    <t>организация 1</t>
  </si>
  <si>
    <t>6.4.1.2</t>
  </si>
  <si>
    <t>организация 2</t>
  </si>
  <si>
    <t>6.4.1.n</t>
  </si>
  <si>
    <t>организация n</t>
  </si>
  <si>
    <t>6.4.2</t>
  </si>
  <si>
    <t>собственным абонентам</t>
  </si>
  <si>
    <t>Отпуск технической воды</t>
  </si>
  <si>
    <t>Объем воды, отпущенной абонентам</t>
  </si>
  <si>
    <t>7.2.1</t>
  </si>
  <si>
    <t>7.3.1</t>
  </si>
  <si>
    <t>7.3.1.1</t>
  </si>
  <si>
    <t>7.3.1.2</t>
  </si>
  <si>
    <t>7.3.1.n</t>
  </si>
  <si>
    <t>7.3.2</t>
  </si>
  <si>
    <t>Отпуск горячей воды</t>
  </si>
  <si>
    <t>8.1</t>
  </si>
  <si>
    <t>8.1.1</t>
  </si>
  <si>
    <t>8.1.2</t>
  </si>
  <si>
    <t>8.2</t>
  </si>
  <si>
    <t>в соответствии с санитарными нормами</t>
  </si>
  <si>
    <t>8.3</t>
  </si>
  <si>
    <t>с нарушениями санитарных норм</t>
  </si>
  <si>
    <t>8.3.1</t>
  </si>
  <si>
    <t>по температуре</t>
  </si>
  <si>
    <t>8.3.2</t>
  </si>
  <si>
    <t>по качеству воды</t>
  </si>
  <si>
    <t>8.4</t>
  </si>
  <si>
    <t>8.4.1</t>
  </si>
  <si>
    <t>8.5</t>
  </si>
  <si>
    <t>8.5.1</t>
  </si>
  <si>
    <t>8.5.1.1</t>
  </si>
  <si>
    <t>8.5.1.2</t>
  </si>
  <si>
    <t>8.5.1.n</t>
  </si>
  <si>
    <t>8.5.2</t>
  </si>
  <si>
    <t>Объем воды, отпускаемой новым абонентам</t>
  </si>
  <si>
    <t>Увеличение отпуска питьевой воды в связи с подключением абонентов</t>
  </si>
  <si>
    <t>Снижение отпуска питьевой воды в связи с прекращением водоснабжения</t>
  </si>
  <si>
    <t>Изменение объема отпуска питьевой воды в связи с изменением нормативов потребления и установкой приборов учета</t>
  </si>
  <si>
    <t>Темп изменения потребления воды</t>
  </si>
  <si>
    <t xml:space="preserve">Исполнитель  (ФИО, должность) </t>
  </si>
  <si>
    <t>2.11.2.1</t>
  </si>
  <si>
    <t>2.11.2.2</t>
  </si>
  <si>
    <t>2.11.2.3</t>
  </si>
  <si>
    <t>2.2.3</t>
  </si>
  <si>
    <t>затраты по передаче электроэнергии</t>
  </si>
  <si>
    <t>Тарифная заявка в сфере водоснабжения</t>
  </si>
  <si>
    <t>Регион РФ</t>
  </si>
  <si>
    <t>Московская область</t>
  </si>
  <si>
    <t>Период</t>
  </si>
  <si>
    <t>Полное наименование организации</t>
  </si>
  <si>
    <t>Сокращенное официальное наименование организации</t>
  </si>
  <si>
    <t>ИНН</t>
  </si>
  <si>
    <t>КПП</t>
  </si>
  <si>
    <t>Вид деятельности</t>
  </si>
  <si>
    <t>Является ли организация плательщиком НДС</t>
  </si>
  <si>
    <t>Система налогообложения</t>
  </si>
  <si>
    <t>Тип воды</t>
  </si>
  <si>
    <t>Полный цикл</t>
  </si>
  <si>
    <t>Подъем воды</t>
  </si>
  <si>
    <t>Транспортирование воды</t>
  </si>
  <si>
    <t>Результирующее название тарифа</t>
  </si>
  <si>
    <t>Утверждена ли инвест.надбавка на 2015</t>
  </si>
  <si>
    <t>Организация регулируется впервые</t>
  </si>
  <si>
    <t>Дата распоряжения</t>
  </si>
  <si>
    <t>Номер распоряжения</t>
  </si>
  <si>
    <t>Размер тарифа 2 полугодие, руб/м3</t>
  </si>
  <si>
    <t>Данные о распоряжении об установлении тарифа на 2014 год:</t>
  </si>
  <si>
    <t>Размер тарифа 1 полугодие, руб/м3</t>
  </si>
  <si>
    <t>Система коммунальной инфраструктуры</t>
  </si>
  <si>
    <t>Описание</t>
  </si>
  <si>
    <t>Главный бухгалтер</t>
  </si>
  <si>
    <t>Фамилия, имя, отчество:</t>
  </si>
  <si>
    <t>Контактный телефон:</t>
  </si>
  <si>
    <t>Должностное лицо, ответственное за составление формы</t>
  </si>
  <si>
    <t>Должность:</t>
  </si>
  <si>
    <t>e-mail:</t>
  </si>
  <si>
    <t>Дополнительная корректировка НВВ:</t>
  </si>
  <si>
    <t>Ввод объектов в эксплуатацию и изменение утвержденной ИП</t>
  </si>
  <si>
    <t xml:space="preserve">Степень исполнения обязательств по созданию и/или реконструкции объектов, находящихся в ГС или МС, по реализации ИП, ПП при недостижении утвержденных планновых значений показателей надежности и качества объектов </t>
  </si>
  <si>
    <t>ИТОГО НВВ с учетом корректировки</t>
  </si>
  <si>
    <t>15</t>
  </si>
  <si>
    <t>16</t>
  </si>
  <si>
    <t>Упрощенная система налогообложения</t>
  </si>
  <si>
    <t>Общая система налогообложения</t>
  </si>
  <si>
    <t>НДС не взимается в соответствии со статьями 145 и 146 НК РФ</t>
  </si>
  <si>
    <t>НДС не взимается в соответствии со статьей 149 НК РФ</t>
  </si>
  <si>
    <t>НДС не взимается в связи с уплатой единого сельскохозяйственного налога</t>
  </si>
  <si>
    <t>да</t>
  </si>
  <si>
    <t>нет</t>
  </si>
  <si>
    <t>Наименование муниципального образования</t>
  </si>
  <si>
    <t>Расчет цеховых (производственных) расходов</t>
  </si>
  <si>
    <t>Цена за тонну химреагента (материала) 
без НДС</t>
  </si>
  <si>
    <t>17</t>
  </si>
  <si>
    <t>тыс.куб.м.</t>
  </si>
  <si>
    <t>N п/п</t>
  </si>
  <si>
    <t>Единица измерений</t>
  </si>
  <si>
    <t>ожид</t>
  </si>
  <si>
    <t>-</t>
  </si>
  <si>
    <t>Изменение количества условных метров водопроводной и (или) канализационной сети</t>
  </si>
  <si>
    <t>Изменение операционных расходов на водоподготовку, очистку сточных вод, связанное с вводом в эксплуатацию нового объекта водоподготовки, включая резервуары воды, очистки сточных вод в году i</t>
  </si>
  <si>
    <t>2014 год (i-2)</t>
  </si>
  <si>
    <t>2015 год (i-1)</t>
  </si>
  <si>
    <t>2017  год</t>
  </si>
  <si>
    <t>Данные о распоряжении об установлении тарифа на 2015 год:</t>
  </si>
  <si>
    <t>тыс.кВт.*ч</t>
  </si>
  <si>
    <t>Отчетный период 2014 год</t>
  </si>
  <si>
    <t>Раздел 3. Расчет эффективности производственной программы, осуществляемый путем сопоставления динамики изменения плановых значений показателей надежности, качества и 
энергетической эффективности объектов централизованных систем водоснабжения и расходов на реализацию производственной программы в течении срока ее действия</t>
  </si>
  <si>
    <r>
      <t>тыс.м</t>
    </r>
    <r>
      <rPr>
        <vertAlign val="superscript"/>
        <sz val="11"/>
        <rFont val="Times New Roman"/>
        <family val="1"/>
      </rPr>
      <t>3</t>
    </r>
  </si>
  <si>
    <t>2.11.1.6</t>
  </si>
  <si>
    <t>2.11.1.7</t>
  </si>
  <si>
    <t>2.11.1.8</t>
  </si>
  <si>
    <t>2.11.1.9</t>
  </si>
  <si>
    <t>2.11.1.10</t>
  </si>
  <si>
    <t>(подпись)</t>
  </si>
  <si>
    <t xml:space="preserve">  ______________/___________  </t>
  </si>
  <si>
    <t>5.0</t>
  </si>
  <si>
    <t>Прочая аренда</t>
  </si>
  <si>
    <t>Наименование мероприятия</t>
  </si>
  <si>
    <t>Срок реализации мероприятия</t>
  </si>
  <si>
    <t>Финансовые потребности на реализацию мероприятия
(тыс.руб. без НДС)</t>
  </si>
  <si>
    <t>Объем работ в натуральных показателях (п.м., шт. и др.)</t>
  </si>
  <si>
    <t>Единица измерения объема работ (п.м., шт. и др.)</t>
  </si>
  <si>
    <t>Исполнитель работ</t>
  </si>
  <si>
    <t>Ожидаемый эффект</t>
  </si>
  <si>
    <t>Срок окупаемости мероприятия</t>
  </si>
  <si>
    <t>Примечание</t>
  </si>
  <si>
    <t>Источники финансирования</t>
  </si>
  <si>
    <t xml:space="preserve">Наименование показателя </t>
  </si>
  <si>
    <t xml:space="preserve">в натуральном выражении </t>
  </si>
  <si>
    <t>В стоимостном выражении (тыс.руб.)</t>
  </si>
  <si>
    <t>в том числе:</t>
  </si>
  <si>
    <t>Год начала</t>
  </si>
  <si>
    <t>Год завершения</t>
  </si>
  <si>
    <t>Амортиза-ция</t>
  </si>
  <si>
    <t>Прибыль (без учета налога на прибыль)</t>
  </si>
  <si>
    <t>Ремонтный фонд</t>
  </si>
  <si>
    <t>Бюджет</t>
  </si>
  <si>
    <t>Прочие источники</t>
  </si>
  <si>
    <t>значение (количество)</t>
  </si>
  <si>
    <t>единица измерения</t>
  </si>
  <si>
    <t>План мероприятий по ремонту объектов централизованной системы водоснабжения, направленных на улучшение качества воды, а также по энергосбережению и повышению энергетической эффективности, в том числе снижению потерь воды при транспортировке</t>
  </si>
  <si>
    <t>техническая</t>
  </si>
  <si>
    <t>питьевая</t>
  </si>
  <si>
    <t>питьевая111</t>
  </si>
  <si>
    <t>тариф на питьевую воду</t>
  </si>
  <si>
    <t>питьевая011</t>
  </si>
  <si>
    <t>питьевая001</t>
  </si>
  <si>
    <t>тариф на транспортировку воды</t>
  </si>
  <si>
    <t>питьевая000</t>
  </si>
  <si>
    <t>питьевая010</t>
  </si>
  <si>
    <t>питьевая101</t>
  </si>
  <si>
    <t>питьевая100</t>
  </si>
  <si>
    <t>тариф на питьевую воду (подъем воды)</t>
  </si>
  <si>
    <t>питьевая110</t>
  </si>
  <si>
    <t>недостаточно данных</t>
  </si>
  <si>
    <t>техническая111</t>
  </si>
  <si>
    <t>техническая011</t>
  </si>
  <si>
    <t>техническая001</t>
  </si>
  <si>
    <t>техническая000</t>
  </si>
  <si>
    <t>техническая010</t>
  </si>
  <si>
    <t>техническая101</t>
  </si>
  <si>
    <t>техническая100</t>
  </si>
  <si>
    <t>техническая110</t>
  </si>
  <si>
    <t>ошибка</t>
  </si>
  <si>
    <t>тариф на транспортировку технической воды</t>
  </si>
  <si>
    <t>тариф на техническую воду</t>
  </si>
  <si>
    <t>тариф на техническую воду (подъем воды)</t>
  </si>
  <si>
    <t>на питьевую воду</t>
  </si>
  <si>
    <t>на транспортировку воды</t>
  </si>
  <si>
    <t>на питьевую воду (подъем воды)</t>
  </si>
  <si>
    <t>на транспортировку технической воды</t>
  </si>
  <si>
    <t>на техническую воду</t>
  </si>
  <si>
    <t>на техническую воду (подъем воды)</t>
  </si>
  <si>
    <t>0000</t>
  </si>
  <si>
    <t>тариф на питьевую воду (очистка воды)</t>
  </si>
  <si>
    <t>на питьевую воду (очистка воды)</t>
  </si>
  <si>
    <t>версия организации</t>
  </si>
  <si>
    <t>версия регулятора</t>
  </si>
  <si>
    <t>Уполномоченный по делу</t>
  </si>
  <si>
    <t>Заведующий отделом</t>
  </si>
  <si>
    <t>Новикова А.А.</t>
  </si>
  <si>
    <t>Удельные операционные расходы</t>
  </si>
  <si>
    <t>Добавить потребителя</t>
  </si>
  <si>
    <t>Добавить строку</t>
  </si>
  <si>
    <t>Добавить счет-фактуру</t>
  </si>
  <si>
    <t>Добавить оборудование</t>
  </si>
  <si>
    <t>Добавить должность</t>
  </si>
  <si>
    <t>Добавить</t>
  </si>
  <si>
    <t>Добавить арендодателя</t>
  </si>
  <si>
    <t>Добавить статью затрат</t>
  </si>
  <si>
    <t>Добавить лицензию</t>
  </si>
  <si>
    <t>Добавить мероприятие</t>
  </si>
  <si>
    <t>Водоподготовка (подъем воды)</t>
  </si>
  <si>
    <t>Потребление на технологические нужды</t>
  </si>
  <si>
    <t>собственным предприятиям</t>
  </si>
  <si>
    <t>бюджетным организациям</t>
  </si>
  <si>
    <t>6.4.2.1</t>
  </si>
  <si>
    <t>6.4.2.2</t>
  </si>
  <si>
    <t>6.4.2.3</t>
  </si>
  <si>
    <t>6.4.2.4</t>
  </si>
  <si>
    <r>
      <t>тыс.м</t>
    </r>
    <r>
      <rPr>
        <vertAlign val="superscript"/>
        <sz val="11"/>
        <rFont val="Times New Roman"/>
        <family val="1"/>
      </rPr>
      <t>4</t>
    </r>
  </si>
  <si>
    <r>
      <t>тыс.м</t>
    </r>
    <r>
      <rPr>
        <vertAlign val="superscript"/>
        <sz val="11"/>
        <rFont val="Times New Roman"/>
        <family val="1"/>
      </rPr>
      <t>5</t>
    </r>
  </si>
  <si>
    <r>
      <t>тыс.м</t>
    </r>
    <r>
      <rPr>
        <vertAlign val="superscript"/>
        <sz val="11"/>
        <rFont val="Times New Roman"/>
        <family val="1"/>
      </rPr>
      <t>6</t>
    </r>
  </si>
  <si>
    <r>
      <t>тыс.м</t>
    </r>
    <r>
      <rPr>
        <vertAlign val="superscript"/>
        <sz val="11"/>
        <rFont val="Times New Roman"/>
        <family val="1"/>
      </rPr>
      <t>7</t>
    </r>
  </si>
  <si>
    <r>
      <t xml:space="preserve">Арендная плата, лизинговые платежи, не связанные с арендой (лизингом) централизованных систем водоснабжения либо объектов, входящих в состав таких систем </t>
    </r>
    <r>
      <rPr>
        <sz val="9"/>
        <color indexed="10"/>
        <rFont val="Tahoma"/>
        <family val="2"/>
      </rPr>
      <t>(прочая аренда)</t>
    </r>
  </si>
  <si>
    <t>Источники финансирования капитальных вложений</t>
  </si>
  <si>
    <t>шт.</t>
  </si>
  <si>
    <t>Объем капитальных вложений</t>
  </si>
  <si>
    <t>на забор и подъем воды</t>
  </si>
  <si>
    <t>на водоподготовку</t>
  </si>
  <si>
    <t>на транспортировку сточных вод</t>
  </si>
  <si>
    <t>на очистку сточных вод</t>
  </si>
  <si>
    <t>на обращение с осадком сточных вод</t>
  </si>
  <si>
    <t>прочее</t>
  </si>
  <si>
    <t>Финансирование капитальных вложений</t>
  </si>
  <si>
    <t>Амортизация</t>
  </si>
  <si>
    <t>2.1.1</t>
  </si>
  <si>
    <t>переоценка основных средств</t>
  </si>
  <si>
    <t>Прибыль</t>
  </si>
  <si>
    <t>дополнительные доходы</t>
  </si>
  <si>
    <t>Займы и кредиты</t>
  </si>
  <si>
    <t>Бюджетные средства</t>
  </si>
  <si>
    <t>федерального бюджета</t>
  </si>
  <si>
    <t>2.4.2</t>
  </si>
  <si>
    <t>регионального бюджета</t>
  </si>
  <si>
    <t>2.4.3</t>
  </si>
  <si>
    <t>местного бюджета</t>
  </si>
  <si>
    <t>Плата за подключение</t>
  </si>
  <si>
    <t>Прочее</t>
  </si>
  <si>
    <t>Учтено при установлении тарифов</t>
  </si>
  <si>
    <t>Прибыль (кап.вложения)</t>
  </si>
  <si>
    <t>Введено в эксплуатацию (всего):</t>
  </si>
  <si>
    <t>ВЗУ: новые</t>
  </si>
  <si>
    <t>ВЗУ: реконструкция</t>
  </si>
  <si>
    <t>Реконструкция очистных сооружений</t>
  </si>
  <si>
    <t>Прокладка сетей</t>
  </si>
  <si>
    <t>5.3.3</t>
  </si>
  <si>
    <r>
      <t xml:space="preserve">Урпп - </t>
    </r>
    <r>
      <rPr>
        <sz val="12"/>
        <rFont val="Times New Roman"/>
        <family val="1"/>
      </rPr>
  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  </r>
  </si>
  <si>
    <r>
      <t xml:space="preserve">Урпт - </t>
    </r>
    <r>
      <rPr>
        <sz val="12"/>
        <rFont val="Times New Roman"/>
        <family val="1"/>
      </rPr>
      <t>удельный расход электрической энергии, потребляемой в технологическом процессе транспортировки питьевой воды, на единицу объема воды, отпускаемой в сеть</t>
    </r>
  </si>
  <si>
    <r>
      <rPr>
        <b/>
        <sz val="12"/>
        <rFont val="Times New Roman"/>
        <family val="1"/>
      </rPr>
      <t>Vт</t>
    </r>
    <r>
      <rPr>
        <sz val="12"/>
        <rFont val="Times New Roman"/>
        <family val="1"/>
      </rPr>
      <t xml:space="preserve"> - общий объем воды, поданной в водопроводную сеть</t>
    </r>
  </si>
  <si>
    <t>Урпп =  Кэп / Vп</t>
  </si>
  <si>
    <t>Урпт =  Кэт / Vт</t>
  </si>
  <si>
    <r>
      <t xml:space="preserve">Кэт </t>
    </r>
    <r>
      <rPr>
        <sz val="12"/>
        <rFont val="Times New Roman"/>
        <family val="1"/>
      </rPr>
      <t>- количество электрической энергии, потребляемой в технологическом процессе транспортировки воды</t>
    </r>
  </si>
  <si>
    <r>
      <t xml:space="preserve">Кэп </t>
    </r>
    <r>
      <rPr>
        <sz val="12"/>
        <rFont val="Times New Roman"/>
        <family val="1"/>
      </rPr>
      <t>- количество электрической энергии, потребляемой в технологическом процессе подъема воды</t>
    </r>
  </si>
  <si>
    <r>
      <rPr>
        <b/>
        <sz val="12"/>
        <rFont val="Times New Roman"/>
        <family val="1"/>
      </rPr>
      <t>Vп</t>
    </r>
    <r>
      <rPr>
        <sz val="12"/>
        <rFont val="Times New Roman"/>
        <family val="1"/>
      </rPr>
      <t xml:space="preserve"> - общий объем поднятой воды</t>
    </r>
  </si>
  <si>
    <t>Беседина М.В.</t>
  </si>
  <si>
    <t>Гусев А.Ю.</t>
  </si>
  <si>
    <t>Хусейнова Е.И.</t>
  </si>
  <si>
    <t>Кудинова О.А.</t>
  </si>
  <si>
    <t>Кокорева Е.Н.</t>
  </si>
  <si>
    <t>Куликова Е.А.</t>
  </si>
  <si>
    <t xml:space="preserve">Версия </t>
  </si>
  <si>
    <t>_____________________</t>
  </si>
  <si>
    <t xml:space="preserve">          ФИО руководителя</t>
  </si>
  <si>
    <t>"_____" __________ г.</t>
  </si>
  <si>
    <t xml:space="preserve"> ПРОИЗВОДСТВЕННАЯ ПРОГРАММА ПО ХОЛОДНОМУ ВОДОСНАБЖЕНИЮ</t>
  </si>
  <si>
    <t>Руководитель</t>
  </si>
  <si>
    <t>Фамилия, имя, отчество (полностью):</t>
  </si>
  <si>
    <t>(ФИО)</t>
  </si>
  <si>
    <t xml:space="preserve">                               М.П.</t>
  </si>
  <si>
    <t xml:space="preserve">                                   М.П.</t>
  </si>
  <si>
    <t>Волоколамский м.р.</t>
  </si>
  <si>
    <t>Воскресенский м.р.</t>
  </si>
  <si>
    <t>г.о. Балашиха</t>
  </si>
  <si>
    <t>г.о. Бронницы</t>
  </si>
  <si>
    <t>г.о. Власиха</t>
  </si>
  <si>
    <t>г.о. Восход</t>
  </si>
  <si>
    <t>г.о. Дзержинский</t>
  </si>
  <si>
    <t>г.о. Долгопрудный</t>
  </si>
  <si>
    <t>г.о. Домодедово</t>
  </si>
  <si>
    <t>г.о. Дубна</t>
  </si>
  <si>
    <t>г.о. Железнодорожный</t>
  </si>
  <si>
    <t xml:space="preserve">г.о. Жуковский </t>
  </si>
  <si>
    <t>г.о. Звездный городок</t>
  </si>
  <si>
    <t>г.о. Звенигород</t>
  </si>
  <si>
    <t>г.о. Ивантеевка</t>
  </si>
  <si>
    <t>г.о. Климовск</t>
  </si>
  <si>
    <t>г.о. Коломна</t>
  </si>
  <si>
    <t>г.о. Королев</t>
  </si>
  <si>
    <t>г.о. Котельники</t>
  </si>
  <si>
    <t>г.о. Красноармейск</t>
  </si>
  <si>
    <t>г.о. Краснознаменск</t>
  </si>
  <si>
    <t>г.о. Лобня</t>
  </si>
  <si>
    <t>г.о. Лосино-Петровский</t>
  </si>
  <si>
    <t>г.о. Лыткарино</t>
  </si>
  <si>
    <t>г.о. Молодежный</t>
  </si>
  <si>
    <t>г.о. Орехово-Зуево</t>
  </si>
  <si>
    <t>г.о. Подольск</t>
  </si>
  <si>
    <t>г.о. Протвино</t>
  </si>
  <si>
    <t>г.о. Пущино</t>
  </si>
  <si>
    <t>г.о. Реутов</t>
  </si>
  <si>
    <t>г.о. Рошаль</t>
  </si>
  <si>
    <t>г.о. Серпухов</t>
  </si>
  <si>
    <t>г.о. Фрязино</t>
  </si>
  <si>
    <t>г.о. Химки</t>
  </si>
  <si>
    <t>г.о. Черноголовка</t>
  </si>
  <si>
    <t>г.о. Электрогорск</t>
  </si>
  <si>
    <t>г.о. Электросталь</t>
  </si>
  <si>
    <t>Дмитровский м.р.</t>
  </si>
  <si>
    <t>Егорьевский м.р.</t>
  </si>
  <si>
    <t>Зарайский м.р.</t>
  </si>
  <si>
    <t>Истринский м.р.</t>
  </si>
  <si>
    <t>Каширский м.р.</t>
  </si>
  <si>
    <t>Клинский м.р.</t>
  </si>
  <si>
    <t>Коломенский м.р.</t>
  </si>
  <si>
    <t>Красногорский м.р.</t>
  </si>
  <si>
    <t>Ленинский м.р.</t>
  </si>
  <si>
    <t>Лотошинский м.р.</t>
  </si>
  <si>
    <t>Луховицкий м.р.</t>
  </si>
  <si>
    <t>Люберецкий м.р.</t>
  </si>
  <si>
    <t>Межмуниципальные организации</t>
  </si>
  <si>
    <t>Можайский м.р.</t>
  </si>
  <si>
    <t>Мытищинский м.р.</t>
  </si>
  <si>
    <t>Наро-Фоминский м.р.</t>
  </si>
  <si>
    <t>Ногинский м.р.</t>
  </si>
  <si>
    <t>Одинцовский м.р.</t>
  </si>
  <si>
    <t>Озерский м.р.</t>
  </si>
  <si>
    <t>Орехово-Зуевский м.р.</t>
  </si>
  <si>
    <t>Павлово-Посадский м.р.</t>
  </si>
  <si>
    <t>Подольский м.р.</t>
  </si>
  <si>
    <t>Пушкинский м.р.</t>
  </si>
  <si>
    <t>Раменский м.р.</t>
  </si>
  <si>
    <t>Рузский м.р.</t>
  </si>
  <si>
    <t>Сергиево-Посадский м.р.</t>
  </si>
  <si>
    <t>Серебряно-Прудский м.р.</t>
  </si>
  <si>
    <t>Серпуховский м.р.</t>
  </si>
  <si>
    <t>Солнечногорский м.р.</t>
  </si>
  <si>
    <t>Ступинский м.р.</t>
  </si>
  <si>
    <t>Талдомский м.р.</t>
  </si>
  <si>
    <t>Чеховский м.р.</t>
  </si>
  <si>
    <t xml:space="preserve">Шатурский м.р. </t>
  </si>
  <si>
    <t>Шаховской м.р.</t>
  </si>
  <si>
    <t>Щелковский м.р.</t>
  </si>
  <si>
    <t>Наименование муниципального района или городского округа</t>
  </si>
  <si>
    <t>ПОРЯДОК РАСЧЕТА ПОТЕРЬ ВОДЫ НА СТАНЦИЯХ ВОДОПОДГОТОВКИ</t>
  </si>
  <si>
    <t>Потери воды за счет естественной убыли в РЧВ</t>
  </si>
  <si>
    <t>Потери воды за счет естественной убыли при транспортировке по трубопроводам</t>
  </si>
  <si>
    <t>Скрытые утечки из РЧВ сверх норм естественной убыли</t>
  </si>
  <si>
    <t>Утечки через уплотнения запорной арматуры на технологических трубопроводах</t>
  </si>
  <si>
    <t>кг</t>
  </si>
  <si>
    <t>Формула расчета</t>
  </si>
  <si>
    <t>где:   - площадь смоченной поверхности i-го РЧВ, кв. м;
  - время работы i-го РЧВ, ч.</t>
  </si>
  <si>
    <t>где:   - протяженность i-го участка трубопровода одного диаметра и материала, км;
  - норма естественной убыли, кг/(км*ч),
  - время пребывания воды в трубопроводе, ч.</t>
  </si>
  <si>
    <t>где:   - снижение уровня воды в РЧВ за время t, м;
  - площадь поверхности воды в i-м РЧВ, кв. м;
  - потери воды за счет естественной убыли в i-м РЧВ, куб. м.</t>
  </si>
  <si>
    <t>где:   - доля арматуры, имеющей утечки, в долях единицы;
n - общее количество запорной арматуры;
q - средний расход при утечке через уплотнения запорной арматуры, куб. м/сут.;
t - календарное число суток за расчетный период.</t>
  </si>
  <si>
    <t>0,125 кг/(кв. м·ч) - норма естественной убыли воды при хранении в РЧВ на 1 кв. м смоченной поверхности в час</t>
  </si>
  <si>
    <t>Обоснование</t>
  </si>
  <si>
    <t xml:space="preserve">Значение показателя   определяется по Приложению N 4 к Методическим указаниям по расчету расходов и потерь горячей, питьевой, технической воды в централизованных системах водоснабжения при ее производстве и транспортировке, вержденным приказом Министерства строительства и жилищно-коммунального хозяйства Российской Федерации от 17 октября 2014 г. N 640/пр </t>
  </si>
  <si>
    <t>Рассчитывается на основании экспериментальных данных для каждого РЧВ</t>
  </si>
  <si>
    <t>При отсутствии фактических данных средний расход при утечке через уплотнения запорной арматуры допускается принимать равным 4,3 куб. м/сут.</t>
  </si>
  <si>
    <t>Расчет</t>
  </si>
  <si>
    <t>6.2.1</t>
  </si>
  <si>
    <t>6.2.2</t>
  </si>
  <si>
    <t>8.6</t>
  </si>
  <si>
    <t>8.7</t>
  </si>
  <si>
    <t>8.8</t>
  </si>
  <si>
    <t>8.9</t>
  </si>
  <si>
    <t>17.1</t>
  </si>
  <si>
    <t>17.1.1</t>
  </si>
  <si>
    <t>17.1.2</t>
  </si>
  <si>
    <t>17.1.3</t>
  </si>
  <si>
    <t>17.2</t>
  </si>
  <si>
    <t>17.3</t>
  </si>
  <si>
    <t>17.4</t>
  </si>
  <si>
    <t>22.1</t>
  </si>
  <si>
    <t>22.2</t>
  </si>
  <si>
    <t>22.3</t>
  </si>
  <si>
    <t>22.4</t>
  </si>
  <si>
    <t>22.4.1</t>
  </si>
  <si>
    <t>22.4.2</t>
  </si>
  <si>
    <t>Налог на прибыль</t>
  </si>
  <si>
    <t>Налог, уплачиваемый в связи с применением упрощенной системы налогообложения</t>
  </si>
  <si>
    <t>СОГЛАСОВАНО</t>
  </si>
  <si>
    <t xml:space="preserve">М.П.                     </t>
  </si>
  <si>
    <t xml:space="preserve">М.П.  </t>
  </si>
  <si>
    <r>
      <t>* Дпс</t>
    </r>
    <r>
      <rPr>
        <b/>
        <sz val="7"/>
        <color indexed="8"/>
        <rFont val="Times New Roman"/>
        <family val="1"/>
      </rPr>
      <t>2015</t>
    </r>
    <r>
      <rPr>
        <b/>
        <sz val="10"/>
        <color indexed="8"/>
        <rFont val="Times New Roman"/>
        <family val="1"/>
      </rPr>
      <t xml:space="preserve"> = (Кнп </t>
    </r>
    <r>
      <rPr>
        <b/>
        <sz val="7"/>
        <color indexed="8"/>
        <rFont val="Times New Roman"/>
        <family val="1"/>
      </rPr>
      <t>2015</t>
    </r>
    <r>
      <rPr>
        <b/>
        <sz val="10"/>
        <color indexed="8"/>
        <rFont val="Times New Roman"/>
        <family val="1"/>
      </rPr>
      <t xml:space="preserve"> / Кп</t>
    </r>
    <r>
      <rPr>
        <b/>
        <sz val="7"/>
        <color indexed="8"/>
        <rFont val="Times New Roman"/>
        <family val="1"/>
      </rPr>
      <t xml:space="preserve"> 2015</t>
    </r>
    <r>
      <rPr>
        <b/>
        <sz val="10"/>
        <color indexed="8"/>
        <rFont val="Times New Roman"/>
        <family val="1"/>
      </rPr>
      <t>) х 100</t>
    </r>
  </si>
  <si>
    <r>
      <t>* Дпрс</t>
    </r>
    <r>
      <rPr>
        <b/>
        <sz val="7"/>
        <rFont val="Times New Roman"/>
        <family val="1"/>
      </rPr>
      <t xml:space="preserve"> 2015</t>
    </r>
    <r>
      <rPr>
        <b/>
        <sz val="10"/>
        <rFont val="Times New Roman"/>
        <family val="1"/>
      </rPr>
      <t xml:space="preserve"> = (Кпрс</t>
    </r>
    <r>
      <rPr>
        <b/>
        <sz val="7"/>
        <rFont val="Times New Roman"/>
        <family val="1"/>
      </rPr>
      <t xml:space="preserve"> 2015</t>
    </r>
    <r>
      <rPr>
        <b/>
        <sz val="10"/>
        <rFont val="Times New Roman"/>
        <family val="1"/>
      </rPr>
      <t xml:space="preserve"> / Кп</t>
    </r>
    <r>
      <rPr>
        <b/>
        <sz val="7"/>
        <rFont val="Times New Roman"/>
        <family val="1"/>
      </rPr>
      <t xml:space="preserve"> 2015</t>
    </r>
    <r>
      <rPr>
        <b/>
        <sz val="10"/>
        <rFont val="Times New Roman"/>
        <family val="1"/>
      </rPr>
      <t>) х 100</t>
    </r>
  </si>
  <si>
    <r>
      <t>* Пн</t>
    </r>
    <r>
      <rPr>
        <b/>
        <sz val="7"/>
        <color indexed="8"/>
        <rFont val="Times New Roman"/>
        <family val="1"/>
      </rPr>
      <t xml:space="preserve"> 2015</t>
    </r>
    <r>
      <rPr>
        <b/>
        <sz val="10"/>
        <color indexed="8"/>
        <rFont val="Times New Roman"/>
        <family val="1"/>
      </rPr>
      <t xml:space="preserve"> = Ка/п </t>
    </r>
    <r>
      <rPr>
        <b/>
        <sz val="7"/>
        <color indexed="8"/>
        <rFont val="Times New Roman"/>
        <family val="1"/>
      </rPr>
      <t>2015</t>
    </r>
    <r>
      <rPr>
        <b/>
        <sz val="10"/>
        <color indexed="8"/>
        <rFont val="Times New Roman"/>
        <family val="1"/>
      </rPr>
      <t xml:space="preserve"> / Lсети </t>
    </r>
    <r>
      <rPr>
        <b/>
        <sz val="7"/>
        <color indexed="8"/>
        <rFont val="Times New Roman"/>
        <family val="1"/>
      </rPr>
      <t>2015</t>
    </r>
  </si>
  <si>
    <r>
      <t xml:space="preserve">* Урп </t>
    </r>
    <r>
      <rPr>
        <b/>
        <sz val="7"/>
        <rFont val="Times New Roman"/>
        <family val="1"/>
      </rPr>
      <t>2015</t>
    </r>
    <r>
      <rPr>
        <b/>
        <sz val="10"/>
        <rFont val="Times New Roman"/>
        <family val="1"/>
      </rPr>
      <t xml:space="preserve"> =  Кэ </t>
    </r>
    <r>
      <rPr>
        <b/>
        <sz val="7"/>
        <rFont val="Times New Roman"/>
        <family val="1"/>
      </rPr>
      <t>2015</t>
    </r>
    <r>
      <rPr>
        <b/>
        <sz val="10"/>
        <rFont val="Times New Roman"/>
        <family val="1"/>
      </rPr>
      <t xml:space="preserve">/ Vобщ </t>
    </r>
    <r>
      <rPr>
        <b/>
        <sz val="7"/>
        <rFont val="Times New Roman"/>
        <family val="1"/>
      </rPr>
      <t>2015</t>
    </r>
  </si>
  <si>
    <t>Операционные расходы (ОР)</t>
  </si>
  <si>
    <t>Индекс потребительских цен (в среднем) за год к предыдущему году (ИПЦ)</t>
  </si>
  <si>
    <t>№ п.п.</t>
  </si>
  <si>
    <t xml:space="preserve">Прогноз социально-экономического развития Российской Федерации                        </t>
  </si>
  <si>
    <t>февраль 2015 года</t>
  </si>
  <si>
    <t>1.</t>
  </si>
  <si>
    <t>Сырье, основные материалы</t>
  </si>
  <si>
    <t>2.</t>
  </si>
  <si>
    <t>Электроэнергия на технологические цели</t>
  </si>
  <si>
    <t>3.</t>
  </si>
  <si>
    <t>Затраты на оплату труда</t>
  </si>
  <si>
    <t>4.</t>
  </si>
  <si>
    <t>Текущий и капитальный ремонт</t>
  </si>
  <si>
    <t>5.</t>
  </si>
  <si>
    <t>Прочие цеховые и общеэксплуатационные  расходы</t>
  </si>
  <si>
    <t>6.</t>
  </si>
  <si>
    <t xml:space="preserve">Покупная продукция </t>
  </si>
  <si>
    <t>7.</t>
  </si>
  <si>
    <t>Средний рост тарифов в сфере водоснабжения и водоотведения</t>
  </si>
  <si>
    <t>Индекс эффективности операционных расходов (ИЭР), %</t>
  </si>
  <si>
    <t>Общество с ограниченной ответственностью  "Дирекция Голицыно-3"</t>
  </si>
  <si>
    <t>Управление эксплуатацией жилого фонда</t>
  </si>
  <si>
    <t>18.12.14</t>
  </si>
  <si>
    <t>145-р</t>
  </si>
  <si>
    <t>Генеральный директор</t>
  </si>
  <si>
    <t>ТСЖ "Голицыно-7"</t>
  </si>
  <si>
    <t xml:space="preserve">население </t>
  </si>
  <si>
    <t>01.01.2000</t>
  </si>
  <si>
    <t>бн</t>
  </si>
  <si>
    <t>счетчик</t>
  </si>
  <si>
    <t>30.05.2013</t>
  </si>
  <si>
    <t>298</t>
  </si>
  <si>
    <t>Старший машинист</t>
  </si>
  <si>
    <t>Водопроводные станции</t>
  </si>
  <si>
    <t>Старший обходчик ВС</t>
  </si>
  <si>
    <t>Машинист НС</t>
  </si>
  <si>
    <t>В соответствии с планом эксплуатации</t>
  </si>
  <si>
    <t>Комитет по уаравлению имуществом</t>
  </si>
  <si>
    <t>344</t>
  </si>
  <si>
    <t>Аренда земли</t>
  </si>
  <si>
    <t>МСК</t>
  </si>
  <si>
    <t>3286</t>
  </si>
  <si>
    <t>ВЭ</t>
  </si>
  <si>
    <t>01.09.2021</t>
  </si>
  <si>
    <t>ИФНС №30</t>
  </si>
  <si>
    <t>ООО "Дирекция Голицыно-3"</t>
  </si>
  <si>
    <t>Прочие расходы (скрыть)</t>
  </si>
  <si>
    <t>С проектом тарифа ознакомлен,</t>
  </si>
  <si>
    <t>с заключением согласен, о дате и месте</t>
  </si>
  <si>
    <t>заседания правления Комитета извещен.</t>
  </si>
  <si>
    <t>Волоколамский муниципальный район</t>
  </si>
  <si>
    <t>Волоколамского муниципального района</t>
  </si>
  <si>
    <t>Воскресенский муниципальный район</t>
  </si>
  <si>
    <t>Воскресенского муниципального района</t>
  </si>
  <si>
    <t>городской округ Балашиха</t>
  </si>
  <si>
    <t>городского округа Балашиха</t>
  </si>
  <si>
    <t>городской округ Бронницы</t>
  </si>
  <si>
    <t>городского округа Бронницы</t>
  </si>
  <si>
    <t>городской округ Власиха</t>
  </si>
  <si>
    <t>городского округа Власиха</t>
  </si>
  <si>
    <t>городской округ Восход</t>
  </si>
  <si>
    <t>городского округа Восход</t>
  </si>
  <si>
    <t>городской округ Дзержинский</t>
  </si>
  <si>
    <t>городского округа Дзержинского</t>
  </si>
  <si>
    <t>городской округ Долгопрудный</t>
  </si>
  <si>
    <t>городского округа Долгопрудный</t>
  </si>
  <si>
    <t>городской округ Домодедово</t>
  </si>
  <si>
    <t>городского округа Домодедово</t>
  </si>
  <si>
    <t>городской округ Дубна</t>
  </si>
  <si>
    <t>городского округа Дубна</t>
  </si>
  <si>
    <t>городской округ Железнодорожный</t>
  </si>
  <si>
    <t>городского округа Железнодорожный</t>
  </si>
  <si>
    <t xml:space="preserve">городской округ Жуковский </t>
  </si>
  <si>
    <t>городского округа Жуковский</t>
  </si>
  <si>
    <t>городской округ Звездный городок</t>
  </si>
  <si>
    <t>городского округа Звездный городок</t>
  </si>
  <si>
    <t>городской округ Звенигород</t>
  </si>
  <si>
    <t>городского округа Звенигород</t>
  </si>
  <si>
    <t>городской округ Ивантеевка</t>
  </si>
  <si>
    <t>городского округа Ивантеевка</t>
  </si>
  <si>
    <t>городской округ Климовск</t>
  </si>
  <si>
    <t>городского округа Климовск</t>
  </si>
  <si>
    <t>городской округ Коломна</t>
  </si>
  <si>
    <t>городского округа Коломна</t>
  </si>
  <si>
    <t>городской округ Королев</t>
  </si>
  <si>
    <t>городского округа Королев</t>
  </si>
  <si>
    <t>городской округ Котельники</t>
  </si>
  <si>
    <t>городского округа Котельники</t>
  </si>
  <si>
    <t>городской округ Красноармейск</t>
  </si>
  <si>
    <t>городского округа Красноармейск</t>
  </si>
  <si>
    <t>городской округ Краснознаменск</t>
  </si>
  <si>
    <t>городского округа Краснознаменск</t>
  </si>
  <si>
    <t>городской округ Лобня</t>
  </si>
  <si>
    <t>городского округа Лобня</t>
  </si>
  <si>
    <t>городской округ Лосино-Петровский</t>
  </si>
  <si>
    <t>городского округа Лосино-Петровского</t>
  </si>
  <si>
    <t>городской округ Лыткарино</t>
  </si>
  <si>
    <t>городского округа Лыткарино</t>
  </si>
  <si>
    <t>городской округ Молодежный</t>
  </si>
  <si>
    <t>городского округа Молодежный</t>
  </si>
  <si>
    <t>городской округ Орехово-Зуево</t>
  </si>
  <si>
    <t>городского округа Орехово-Зуево</t>
  </si>
  <si>
    <t>городской округ Подольск</t>
  </si>
  <si>
    <t>городского округа Подольск</t>
  </si>
  <si>
    <t>городской округ Протвино</t>
  </si>
  <si>
    <t>городского округа Протвино</t>
  </si>
  <si>
    <t>городской округ Пущино</t>
  </si>
  <si>
    <t>городского округа Пущино</t>
  </si>
  <si>
    <t>городской округ Реутов</t>
  </si>
  <si>
    <t>городского округа Реутов</t>
  </si>
  <si>
    <t>городской округ Рошаль</t>
  </si>
  <si>
    <t>городского округа Рошаль</t>
  </si>
  <si>
    <t>городской округ Серпухов</t>
  </si>
  <si>
    <t>городского округа Серпухов</t>
  </si>
  <si>
    <t>городской округ Фрязино</t>
  </si>
  <si>
    <t>городского округа Фрязино</t>
  </si>
  <si>
    <t>городской округ Химки</t>
  </si>
  <si>
    <t>городского округа Химки</t>
  </si>
  <si>
    <t>городской округ Черноголовка</t>
  </si>
  <si>
    <t>городского округа Черноголовка</t>
  </si>
  <si>
    <t>городской округ Электрогорск</t>
  </si>
  <si>
    <t>городского округа Электрогорск</t>
  </si>
  <si>
    <t>городской округ Электросталь</t>
  </si>
  <si>
    <t>городского округа Электросталь</t>
  </si>
  <si>
    <t>Дмитровский муниципальный район</t>
  </si>
  <si>
    <t>Дмитровского муниципального района</t>
  </si>
  <si>
    <t>Егорьевский муниципальный район</t>
  </si>
  <si>
    <t>Егорьевского муниципального района</t>
  </si>
  <si>
    <t>Зарайский муниципальный район</t>
  </si>
  <si>
    <t>Зарайского муниципального района</t>
  </si>
  <si>
    <t>Истринский муниципальный район</t>
  </si>
  <si>
    <t>Истринского муниципального района</t>
  </si>
  <si>
    <t>Каширский муниципальный район</t>
  </si>
  <si>
    <t>Каширского муниципального района</t>
  </si>
  <si>
    <t>Клинский муниципальный район</t>
  </si>
  <si>
    <t>Клинского муниципального района</t>
  </si>
  <si>
    <t>Коломенский муниципальный район</t>
  </si>
  <si>
    <t>Коломенского муниципального района</t>
  </si>
  <si>
    <t>Красногорский муниципальный район</t>
  </si>
  <si>
    <t>Красногорского муниципального района</t>
  </si>
  <si>
    <t>Ленинский муниципальный район</t>
  </si>
  <si>
    <t>Ленинского муниципального района</t>
  </si>
  <si>
    <t>Лотошинский муниципальный район</t>
  </si>
  <si>
    <t>Лотошинского муниципального района</t>
  </si>
  <si>
    <t>Луховицкий муниципальный район</t>
  </si>
  <si>
    <t>Луховицкого муниципального района</t>
  </si>
  <si>
    <t>Люберецкий муниципальный район</t>
  </si>
  <si>
    <t>Люберецкого муниципального района</t>
  </si>
  <si>
    <t>Можайский муниципальный район</t>
  </si>
  <si>
    <t>Можайского муниципального района</t>
  </si>
  <si>
    <t>Мытищинский муниципальный район</t>
  </si>
  <si>
    <t>Мытищинского муниципального района</t>
  </si>
  <si>
    <t>Наро-Фоминский муниципальный район</t>
  </si>
  <si>
    <t>Наро-Фоминского муниципального района</t>
  </si>
  <si>
    <t>Ногинский муниципальный район</t>
  </si>
  <si>
    <t>Ногинского муниципального района</t>
  </si>
  <si>
    <t>Одинцовский муниципальный район</t>
  </si>
  <si>
    <t>Одинцовского муниципального района</t>
  </si>
  <si>
    <t>Озерский муниципальный район</t>
  </si>
  <si>
    <t>Озерского муниципального района</t>
  </si>
  <si>
    <t>Орехово-Зуевский муниципальный район</t>
  </si>
  <si>
    <t>Орехово-Зуевского муниципального района</t>
  </si>
  <si>
    <t>Павлово-Посадский муниципальный район</t>
  </si>
  <si>
    <t>Павлово-Посадского муниципального района</t>
  </si>
  <si>
    <t>Подольский муниципальный район</t>
  </si>
  <si>
    <t>Подольского муниципального района</t>
  </si>
  <si>
    <t>Пушкинский муниципальный район</t>
  </si>
  <si>
    <t>Пушкинского муниципального района</t>
  </si>
  <si>
    <t>Раменский муниципальный район</t>
  </si>
  <si>
    <t>Раменского муниципального района</t>
  </si>
  <si>
    <t>Рузский муниципальный район</t>
  </si>
  <si>
    <t>Рузского муниципального района</t>
  </si>
  <si>
    <t>Сергиево-Посадский муниципальный район</t>
  </si>
  <si>
    <t>Сергиево-Посадского муниципального района</t>
  </si>
  <si>
    <t>Серебряно-Прудский муниципальный район</t>
  </si>
  <si>
    <t>Серебряно-Прудского муниципального района</t>
  </si>
  <si>
    <t>Серпуховский муниципальный район</t>
  </si>
  <si>
    <t>Серпуховского муниципального района</t>
  </si>
  <si>
    <t>Солнечногорский муниципальный район</t>
  </si>
  <si>
    <t>Солнечногорского муниципального района</t>
  </si>
  <si>
    <t>Ступинский муниципальный район</t>
  </si>
  <si>
    <t>Ступинского муниципального района</t>
  </si>
  <si>
    <t>Талдомский муниципальный район</t>
  </si>
  <si>
    <t>Талдомского муниципального района</t>
  </si>
  <si>
    <t>Чеховский муниципальный район</t>
  </si>
  <si>
    <t>Чеховского муниципального района</t>
  </si>
  <si>
    <t xml:space="preserve">Шатурский муниципальный район </t>
  </si>
  <si>
    <t xml:space="preserve">Шатурского муниципального района </t>
  </si>
  <si>
    <t>Шаховской муниципальный район</t>
  </si>
  <si>
    <t>Шаховского муниципального района</t>
  </si>
  <si>
    <t>Щелковский муниципальный район</t>
  </si>
  <si>
    <t>Щелковского муниципального района</t>
  </si>
  <si>
    <t>Приложение № ___</t>
  </si>
  <si>
    <t>к протоколу заседания Правления</t>
  </si>
  <si>
    <t>Комитета по ценам и тарифам</t>
  </si>
  <si>
    <t>Московской области</t>
  </si>
  <si>
    <t>от ___________ № ____</t>
  </si>
  <si>
    <t>план с 01.07.2016 по 31.12.2016</t>
  </si>
  <si>
    <t>ИПЦ</t>
  </si>
  <si>
    <t>Утверждена ли инвест.программа?</t>
  </si>
  <si>
    <t>Утверждена ли учетная политика?</t>
  </si>
  <si>
    <t>Каким документом утверждена учетная политика?</t>
  </si>
  <si>
    <t>Принцип распределения прочих адм. и прочих цеховых затрат</t>
  </si>
  <si>
    <t>Есть ли коллективный договор?</t>
  </si>
  <si>
    <t>Отчетный период 2015 год</t>
  </si>
  <si>
    <t>план c 01.07.2015 по 31.12.2015</t>
  </si>
  <si>
    <t>Текущий период 2016 год (план)</t>
  </si>
  <si>
    <t>план с 01.01.2016 по 30.06.2016</t>
  </si>
  <si>
    <t>Текущий период 2017 год (план)</t>
  </si>
  <si>
    <t>план с 01.01.2017 по 30.06.2017</t>
  </si>
  <si>
    <t>план с 01.07.2017 по 31.12.2017</t>
  </si>
  <si>
    <t>Текущий период 2017 год (версия организации)</t>
  </si>
  <si>
    <t>Регулируемый период 2017 год (версия регулятора)</t>
  </si>
  <si>
    <t>2017 корректировка в долгосрочном периоде</t>
  </si>
  <si>
    <t>с 01.07.2017               по 31.12.2017</t>
  </si>
  <si>
    <t>Величина показателя планируемого уровня (2017 год)</t>
  </si>
  <si>
    <t>Величина показателя базового уровня (2016 год)*</t>
  </si>
  <si>
    <t>* Дпс2016 = (Кнп 2016 / Кп 2016) х 100</t>
  </si>
  <si>
    <t>* Дпрс 2016 = (Кпрс 2016 / Кп 2016) х 100</t>
  </si>
  <si>
    <t>* Пн 2016 = Ка/п 2016 / Lсети 2016</t>
  </si>
  <si>
    <t>* Урп 2016 =  Кэ 2016/ Vобщ 2016</t>
  </si>
  <si>
    <t>Итого регулируемый период, План 2017</t>
  </si>
  <si>
    <t>Расчет водного налога за отчетный период - 2015 год</t>
  </si>
  <si>
    <t>Итого отчетный период, Факт 2015</t>
  </si>
  <si>
    <t>Сведения о системах водоснабжения организации водопроводно-канализационного хозяйства</t>
  </si>
  <si>
    <t>Ед. изм.</t>
  </si>
  <si>
    <t>Основание владения имуществом (договор аренды/ собств-ть/ хоз.ведение/ не оформлено)</t>
  </si>
  <si>
    <t>Дата договора аренды</t>
  </si>
  <si>
    <t>Номер договора аренды</t>
  </si>
  <si>
    <t>С кем заключен договор</t>
  </si>
  <si>
    <t>Срок действия</t>
  </si>
  <si>
    <t xml:space="preserve">2015 год </t>
  </si>
  <si>
    <t>2017 год план</t>
  </si>
  <si>
    <t xml:space="preserve"> план</t>
  </si>
  <si>
    <t xml:space="preserve"> факт</t>
  </si>
  <si>
    <t>Проектная мощность оборудования</t>
  </si>
  <si>
    <t>тыс.куб.м/сут.</t>
  </si>
  <si>
    <t>Производительность оборудования</t>
  </si>
  <si>
    <t xml:space="preserve">Уровень загрузки оборудования </t>
  </si>
  <si>
    <t>Количество водонасосных станций (водозаборных узлов)</t>
  </si>
  <si>
    <t>Количество скважин</t>
  </si>
  <si>
    <t>Количество подкачивающих насосных станций</t>
  </si>
  <si>
    <t>Количество водонапорных башен</t>
  </si>
  <si>
    <t xml:space="preserve">Протяженность водопроводных сетей </t>
  </si>
  <si>
    <t>Износ систем коммунальной инфраструктуры</t>
  </si>
  <si>
    <t>Удельный вес сетей, нуждающихся в замене</t>
  </si>
  <si>
    <t>Протяженность сетей, нуждающихся в замене</t>
  </si>
  <si>
    <t>Количество аварий на системах водоснабжения</t>
  </si>
  <si>
    <t xml:space="preserve">Технологические затраты электроэнергии </t>
  </si>
  <si>
    <t>тыс.кВт.ч/год</t>
  </si>
  <si>
    <t>Удельный расход электрической энергии</t>
  </si>
  <si>
    <t>кВт/куб.м</t>
  </si>
  <si>
    <t>__________________________</t>
  </si>
  <si>
    <t>ФИО руководителя</t>
  </si>
  <si>
    <t xml:space="preserve">ФАКТИЧЕСКИЕ значения показателей надежности, качества и энергоэффективности объектов централизованных систем холодного водоснабжения, достижение которых предусмотрено в результате реализации мероприятий ПРОИЗВОДСТВЕННОЙ и ИНВЕСТИЦИОННОЙ ПРОГРАММ за 2015 год </t>
  </si>
  <si>
    <t>Наименование муниципального образования:</t>
  </si>
  <si>
    <t>Наименование регулируемой организации:</t>
  </si>
  <si>
    <t>Наименование мероприятия (мероприятий) производственной и инвестиционной программ</t>
  </si>
  <si>
    <t xml:space="preserve">Объем выполненных мероприятий                                                     в натуральном выражении </t>
  </si>
  <si>
    <r>
      <rPr>
        <b/>
        <sz val="12"/>
        <rFont val="Times New Roman"/>
        <family val="1"/>
      </rPr>
      <t>Источники финансирования</t>
    </r>
  </si>
  <si>
    <t>Стоимость мероприятия</t>
  </si>
  <si>
    <t>Экономический эффект</t>
  </si>
  <si>
    <t>Значение показателя надежности и бесперебойности водоснабжения</t>
  </si>
  <si>
    <t>Значение показателей качества питьевой воды</t>
  </si>
  <si>
    <t>Значение показателей энергетической эффективности</t>
  </si>
  <si>
    <t>Удельное количество перерывов в подаче воды,  зафиксированных в местах исполнения обязательств организацией, осуществляющей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водоснабжения в расчете на протяженность водопроводной сети в год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</si>
  <si>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</si>
  <si>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</si>
  <si>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</si>
  <si>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</si>
  <si>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</t>
  </si>
  <si>
    <t>наименование</t>
  </si>
  <si>
    <t>введено в эксплуатацию 
(новые объекты)</t>
  </si>
  <si>
    <t>реконструировано</t>
  </si>
  <si>
    <t>капитальные вложения</t>
  </si>
  <si>
    <t>амортизация</t>
  </si>
  <si>
    <t>заемные средства</t>
  </si>
  <si>
    <t>капитальный ремонт</t>
  </si>
  <si>
    <t>значение</t>
  </si>
  <si>
    <t>кВт*ч/куб. м</t>
  </si>
  <si>
    <t>ИТОГО (в целом по организации)</t>
  </si>
  <si>
    <t>Исполнитель:</t>
  </si>
  <si>
    <t>подпись</t>
  </si>
  <si>
    <t xml:space="preserve">Аналитическая справка по организации </t>
  </si>
  <si>
    <t>услуга</t>
  </si>
  <si>
    <t>Задолженность по оплате за электроэнергию, тыс.руб.</t>
  </si>
  <si>
    <t>Кредиторская задолженность, тыс.руб.</t>
  </si>
  <si>
    <t>Дебиторская задолженность, тыс.руб.</t>
  </si>
  <si>
    <t>Финансовый результат, тыс.руб. (прибыль, убыток)</t>
  </si>
  <si>
    <t>на 01.01.2015 (факт 2014 года)</t>
  </si>
  <si>
    <t>на 01.01.2016 (факт 2015 года)</t>
  </si>
  <si>
    <t>В целом по предприятию 
(из бух.баланса)</t>
  </si>
  <si>
    <t>Директор организации   ________________________   (ФИО, подпись)</t>
  </si>
  <si>
    <t>ПЕЧАТЬ</t>
  </si>
  <si>
    <t>Расходы на приобретение сырья и материалов и их хранение по водоснабжению</t>
  </si>
  <si>
    <t>Факт 2015</t>
  </si>
  <si>
    <t>План 2017</t>
  </si>
  <si>
    <t>Расчет среднегодовой стоимости 1 кВт.ч. электроэнергии в отчетном периоде - 2015 год</t>
  </si>
  <si>
    <t>Распределение расхода электроэнергии по видам деятельности за отчетный период - 2015 год</t>
  </si>
  <si>
    <t>Регулируемый период, План 2017</t>
  </si>
  <si>
    <t>Расчет расхода электроэнергии в отчетном периоде - 2015 год</t>
  </si>
  <si>
    <t>Отчетный период, Факт 2015</t>
  </si>
  <si>
    <t>Регулируемый период, 2017 год</t>
  </si>
  <si>
    <t>Отчетный период, 2015 год</t>
  </si>
  <si>
    <t>Первоначальная стоимость</t>
  </si>
  <si>
    <t>Дата ввода ОС</t>
  </si>
  <si>
    <t>Изменение первоначальной стоимости при переоценке</t>
  </si>
  <si>
    <t>Изменение первоначальной стоимости при достройке, дооборудовании и реконструкции</t>
  </si>
  <si>
    <t>Отчет по затратам на текущий ремонт и техническое обслуживание основных средств за отчетный период - 2015 год</t>
  </si>
  <si>
    <t>Наименование материалов, единица измерения</t>
  </si>
  <si>
    <t>Цена, руб.</t>
  </si>
  <si>
    <t>Кол-во единиц</t>
  </si>
  <si>
    <t>План текущего ремонта и технического обслуживания основных средств на 2017 год</t>
  </si>
  <si>
    <t>Отчет по затратам на капитальный ремонт основных средств за отчетный период - 2015 год</t>
  </si>
  <si>
    <t>План капитального ремонта основных средств на 2017 год</t>
  </si>
  <si>
    <t>Расчет арендной платы</t>
  </si>
  <si>
    <t>Регулируемый период
2016 год</t>
  </si>
  <si>
    <t>Предшествующий период
2015 год</t>
  </si>
  <si>
    <t>Корректировка необходимой валовой выручки по водоснабжению на 2017 год</t>
  </si>
  <si>
    <t>Регулируемый период            2017 год</t>
  </si>
  <si>
    <t>Необходимая валовая выручка (НВВ), определяемая на 2015 год (до начала долгосрочного периода регулирования)</t>
  </si>
  <si>
    <t>11.1</t>
  </si>
  <si>
    <t>Экономически обоснованный тариф с НДС</t>
  </si>
  <si>
    <t>Прогнозные индексы роста по статьям затрат, применяемые при расчете тарифов на коммунальные ресурсы с 01 июля 2017</t>
  </si>
  <si>
    <t>31.01.2015</t>
  </si>
  <si>
    <t>28.02.2015</t>
  </si>
  <si>
    <t>31.03.2015</t>
  </si>
  <si>
    <t>30.04.2015</t>
  </si>
  <si>
    <t>31.05.2015</t>
  </si>
  <si>
    <t>30.06.2015</t>
  </si>
  <si>
    <t>31.07.2015</t>
  </si>
  <si>
    <t>31.08.2015</t>
  </si>
  <si>
    <t>30.09.2015</t>
  </si>
  <si>
    <t>31.10.2015</t>
  </si>
  <si>
    <t>30.11.2015</t>
  </si>
  <si>
    <t>31.12.2015</t>
  </si>
  <si>
    <t>замена  и установка насосов</t>
  </si>
  <si>
    <t>Иное</t>
  </si>
  <si>
    <t>Насосная станция 1 подъема</t>
  </si>
  <si>
    <t>Насосная станция 2 подъема</t>
  </si>
  <si>
    <t>Артезианская скважина</t>
  </si>
  <si>
    <t>собственность</t>
  </si>
  <si>
    <t>Сети водопровода</t>
  </si>
  <si>
    <t>Перекладка отдельных участков линий с полной или частичной заменой труб</t>
  </si>
  <si>
    <t>Замена оборудования, гидрантов, водозаборных колонок, задвижек</t>
  </si>
  <si>
    <t>Полная (частичная) реконструкция колодцев (камер)</t>
  </si>
  <si>
    <t>НС 2-го подъема, 0020</t>
  </si>
  <si>
    <t>НС 1-го подъема над артезианской скв.1, 0019</t>
  </si>
  <si>
    <t>НС 1-го подъема над артезианской скв.2, 0018</t>
  </si>
  <si>
    <t>Сети водопровода , 000000094</t>
  </si>
  <si>
    <t>Насос ЭЦВ 8-25-100, 000000093</t>
  </si>
  <si>
    <t>813</t>
  </si>
  <si>
    <t>Трубы,м.п.</t>
  </si>
  <si>
    <t>Американка,шт</t>
  </si>
  <si>
    <t>254,38</t>
  </si>
  <si>
    <t>101,12</t>
  </si>
  <si>
    <t>Муфты</t>
  </si>
  <si>
    <t>55</t>
  </si>
  <si>
    <t>623,91</t>
  </si>
  <si>
    <t>Шаровые краны</t>
  </si>
  <si>
    <t>142</t>
  </si>
  <si>
    <t>100,92</t>
  </si>
  <si>
    <t>Прочие МБП</t>
  </si>
  <si>
    <t>ЗАО "МНЗ-1"</t>
  </si>
  <si>
    <t>20.10.2015</t>
  </si>
  <si>
    <t>419</t>
  </si>
  <si>
    <t>Анализ воды</t>
  </si>
  <si>
    <t>zaogolizino3@ya.ru</t>
  </si>
  <si>
    <t>Геращенко Диана Александровна</t>
  </si>
  <si>
    <t>Доценко Елена Валерьевна</t>
  </si>
  <si>
    <t>(916) 2292197</t>
  </si>
  <si>
    <t>(916) 1619686</t>
  </si>
  <si>
    <t>esi.dotsenko@mail.ru</t>
  </si>
  <si>
    <t>приказом</t>
  </si>
  <si>
    <t>143395, Московская обл, Наро-Фоминский р-н, Новосумино д, Южная ул, дом № 22</t>
  </si>
  <si>
    <t>407077,2 кг=371,76 м2  *  0,125 кг  *8760 ч</t>
  </si>
  <si>
    <t>490560 кг= 2920 ч * 100м * 1,68 кг/ч</t>
  </si>
  <si>
    <t>48,47 м3 = 3,7м * 123,12 м" - 407,07 м№</t>
  </si>
  <si>
    <t>30,4 м3 = 1/6 * 15 * 0,2 *121,6 сут</t>
  </si>
  <si>
    <t>Седов Юрий Владимирович</t>
  </si>
  <si>
    <t>(903) 2476382</t>
  </si>
  <si>
    <t>Седов Ю.В.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</si>
</sst>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"/>
    <numFmt numFmtId="180" formatCode="#,##0.0000"/>
    <numFmt numFmtId="181" formatCode="#,##0.000"/>
    <numFmt numFmtId="182" formatCode="0.000"/>
    <numFmt numFmtId="183" formatCode="[$-FC19]d\ mmmm\ yyyy\ &quot;г.&quot;"/>
    <numFmt numFmtId="184" formatCode="&quot;$&quot;#,##0_);[Red]\(&quot;$&quot;#,##0\)"/>
    <numFmt numFmtId="185" formatCode="_-* #,##0.00[$€-1]_-;\-* #,##0.00[$€-1]_-;_-* &quot;-&quot;??[$€-1]_-"/>
    <numFmt numFmtId="186" formatCode="0.0%"/>
    <numFmt numFmtId="187" formatCode="0.0000"/>
    <numFmt numFmtId="188" formatCode="0.00000"/>
    <numFmt numFmtId="189" formatCode="0.000000"/>
    <numFmt numFmtId="190" formatCode="dd\.mm\.yyyy"/>
  </numFmts>
  <fonts count="1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0"/>
      <name val="Arial"/>
      <family val="2"/>
    </font>
    <font>
      <sz val="11"/>
      <color indexed="63"/>
      <name val="Century Schoolbook"/>
      <family val="1"/>
    </font>
    <font>
      <i/>
      <sz val="11"/>
      <color indexed="63"/>
      <name val="Century Schoolbook"/>
      <family val="1"/>
    </font>
    <font>
      <sz val="11"/>
      <color indexed="10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9"/>
      <color indexed="8"/>
      <name val="Tahoma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9"/>
      <name val="Tahoma"/>
      <family val="2"/>
    </font>
    <font>
      <sz val="9"/>
      <color indexed="63"/>
      <name val="Tahoma"/>
      <family val="2"/>
    </font>
    <font>
      <sz val="9"/>
      <color indexed="23"/>
      <name val="Tahoma"/>
      <family val="2"/>
    </font>
    <font>
      <b/>
      <sz val="9"/>
      <color indexed="62"/>
      <name val="Tahoma"/>
      <family val="2"/>
    </font>
    <font>
      <b/>
      <i/>
      <sz val="9"/>
      <name val="Tahoma"/>
      <family val="2"/>
    </font>
    <font>
      <b/>
      <sz val="9"/>
      <color indexed="8"/>
      <name val="Tahoma"/>
      <family val="2"/>
    </font>
    <font>
      <sz val="9"/>
      <color indexed="10"/>
      <name val="Tahoma"/>
      <family val="2"/>
    </font>
    <font>
      <b/>
      <sz val="9"/>
      <color indexed="23"/>
      <name val="Tahoma"/>
      <family val="2"/>
    </font>
    <font>
      <sz val="11"/>
      <color indexed="63"/>
      <name val="Times New Roman"/>
      <family val="1"/>
    </font>
    <font>
      <sz val="11"/>
      <color indexed="23"/>
      <name val="Times New Roman"/>
      <family val="1"/>
    </font>
    <font>
      <sz val="11"/>
      <color indexed="62"/>
      <name val="Calibri"/>
      <family val="2"/>
    </font>
    <font>
      <sz val="8"/>
      <name val="Verdana"/>
      <family val="2"/>
    </font>
    <font>
      <sz val="9"/>
      <color indexed="9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0"/>
      <color indexed="8"/>
      <name val="Arial Cyr"/>
      <family val="2"/>
    </font>
    <font>
      <sz val="10"/>
      <name val="Times New Roman CYR"/>
      <family val="0"/>
    </font>
    <font>
      <b/>
      <sz val="11"/>
      <color indexed="8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1"/>
      <color indexed="63"/>
      <name val="Times New Roman"/>
      <family val="1"/>
    </font>
    <font>
      <i/>
      <u val="single"/>
      <sz val="11"/>
      <name val="Times New Roman"/>
      <family val="1"/>
    </font>
    <font>
      <b/>
      <sz val="11"/>
      <color indexed="23"/>
      <name val="Times New Roman"/>
      <family val="1"/>
    </font>
    <font>
      <sz val="12"/>
      <color indexed="63"/>
      <name val="Times New Roman"/>
      <family val="1"/>
    </font>
    <font>
      <vertAlign val="superscript"/>
      <sz val="11"/>
      <name val="Times New Roman"/>
      <family val="1"/>
    </font>
    <font>
      <b/>
      <sz val="11"/>
      <name val="Tahoma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i/>
      <sz val="7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ahoma"/>
      <family val="2"/>
    </font>
    <font>
      <sz val="11"/>
      <color theme="0" tint="-0.4999699890613556"/>
      <name val="Times New Roman"/>
      <family val="1"/>
    </font>
    <font>
      <sz val="11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FE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1FFCD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1FFE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/>
      <right/>
      <top/>
      <bottom style="thin">
        <color indexed="22"/>
      </bottom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medium"/>
      <right style="thin">
        <color indexed="22"/>
      </right>
      <top style="dashed"/>
      <bottom style="medium"/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>
        <color indexed="63"/>
      </top>
      <bottom>
        <color indexed="63"/>
      </bottom>
    </border>
    <border>
      <left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14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185" fontId="48" fillId="0" borderId="0">
      <alignment/>
      <protection/>
    </xf>
    <xf numFmtId="0" fontId="48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56" fillId="0" borderId="1" applyNumberFormat="0" applyAlignment="0">
      <protection locked="0"/>
    </xf>
    <xf numFmtId="184" fontId="49" fillId="0" borderId="0" applyFont="0" applyFill="0" applyBorder="0" applyAlignment="0" applyProtection="0"/>
    <xf numFmtId="0" fontId="50" fillId="0" borderId="0" applyFill="0" applyBorder="0" applyProtection="0">
      <alignment vertical="center"/>
    </xf>
    <xf numFmtId="0" fontId="51" fillId="0" borderId="0" applyNumberFormat="0" applyFill="0" applyBorder="0" applyAlignment="0" applyProtection="0"/>
    <xf numFmtId="0" fontId="56" fillId="20" borderId="1" applyNumberFormat="0" applyAlignment="0"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alignment/>
      <protection/>
    </xf>
    <xf numFmtId="0" fontId="50" fillId="0" borderId="0" applyFill="0" applyBorder="0" applyProtection="0">
      <alignment vertical="center"/>
    </xf>
    <xf numFmtId="0" fontId="50" fillId="0" borderId="0" applyFill="0" applyBorder="0" applyProtection="0">
      <alignment vertical="center"/>
    </xf>
    <xf numFmtId="49" fontId="59" fillId="21" borderId="2" applyNumberFormat="0">
      <alignment horizontal="center" vertical="center"/>
      <protection/>
    </xf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6" borderId="0" applyNumberFormat="0" applyBorder="0" applyAlignment="0" applyProtection="0"/>
    <xf numFmtId="0" fontId="107" fillId="27" borderId="0" applyNumberFormat="0" applyBorder="0" applyAlignment="0" applyProtection="0"/>
    <xf numFmtId="0" fontId="108" fillId="28" borderId="3" applyNumberFormat="0" applyAlignment="0" applyProtection="0"/>
    <xf numFmtId="0" fontId="43" fillId="29" borderId="1" applyNumberFormat="0" applyAlignment="0" applyProtection="0"/>
    <xf numFmtId="0" fontId="109" fillId="30" borderId="4" applyNumberFormat="0" applyAlignment="0" applyProtection="0"/>
    <xf numFmtId="0" fontId="110" fillId="30" borderId="3" applyNumberFormat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Border="0">
      <alignment horizontal="center" vertical="center" wrapText="1"/>
      <protection/>
    </xf>
    <xf numFmtId="0" fontId="111" fillId="0" borderId="5" applyNumberFormat="0" applyFill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3" fillId="0" borderId="0" applyNumberFormat="0" applyFill="0" applyBorder="0" applyAlignment="0" applyProtection="0"/>
    <xf numFmtId="0" fontId="33" fillId="0" borderId="8" applyBorder="0">
      <alignment horizontal="center" vertical="center" wrapText="1"/>
      <protection/>
    </xf>
    <xf numFmtId="4" fontId="3" fillId="31" borderId="9" applyBorder="0">
      <alignment horizontal="right"/>
      <protection/>
    </xf>
    <xf numFmtId="0" fontId="114" fillId="0" borderId="10" applyNumberFormat="0" applyFill="0" applyAlignment="0" applyProtection="0"/>
    <xf numFmtId="0" fontId="115" fillId="32" borderId="11" applyNumberFormat="0" applyAlignment="0" applyProtection="0"/>
    <xf numFmtId="0" fontId="116" fillId="0" borderId="0" applyNumberFormat="0" applyFill="0" applyBorder="0" applyAlignment="0" applyProtection="0"/>
    <xf numFmtId="0" fontId="117" fillId="33" borderId="0" applyNumberFormat="0" applyBorder="0" applyAlignment="0" applyProtection="0"/>
    <xf numFmtId="49" fontId="3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57" fillId="34" borderId="0" applyNumberForma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3" fillId="34" borderId="0" applyBorder="0">
      <alignment vertical="top"/>
      <protection/>
    </xf>
    <xf numFmtId="49" fontId="3" fillId="34" borderId="0" applyBorder="0">
      <alignment vertical="top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0" fontId="44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9" fillId="0" borderId="0" applyNumberFormat="0" applyFill="0" applyBorder="0" applyAlignment="0" applyProtection="0"/>
    <xf numFmtId="0" fontId="1" fillId="36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0" fillId="0" borderId="13" applyNumberFormat="0" applyFill="0" applyAlignment="0" applyProtection="0"/>
    <xf numFmtId="49" fontId="58" fillId="37" borderId="14" applyBorder="0" applyProtection="0">
      <alignment horizontal="left" vertical="center"/>
    </xf>
    <xf numFmtId="0" fontId="1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" fillId="38" borderId="0" applyFont="0" applyBorder="0">
      <alignment horizontal="right"/>
      <protection/>
    </xf>
    <xf numFmtId="0" fontId="122" fillId="39" borderId="0" applyNumberFormat="0" applyBorder="0" applyAlignment="0" applyProtection="0"/>
  </cellStyleXfs>
  <cellXfs count="1643">
    <xf numFmtId="0" fontId="0" fillId="0" borderId="0" xfId="0" applyFont="1" applyAlignment="1">
      <alignment/>
    </xf>
    <xf numFmtId="0" fontId="6" fillId="0" borderId="0" xfId="105" applyFont="1" applyBorder="1" applyAlignment="1" applyProtection="1">
      <alignment horizontal="right" vertical="top" wrapText="1"/>
      <protection/>
    </xf>
    <xf numFmtId="49" fontId="36" fillId="40" borderId="15" xfId="88" applyFont="1" applyFill="1" applyBorder="1" applyAlignment="1" applyProtection="1">
      <alignment horizontal="left" vertical="center"/>
      <protection/>
    </xf>
    <xf numFmtId="49" fontId="34" fillId="0" borderId="0" xfId="105" applyNumberFormat="1" applyFont="1" applyFill="1" applyBorder="1" applyAlignment="1" applyProtection="1">
      <alignment horizontal="center" vertical="center" wrapText="1"/>
      <protection/>
    </xf>
    <xf numFmtId="0" fontId="34" fillId="0" borderId="0" xfId="105" applyFont="1" applyFill="1" applyBorder="1" applyAlignment="1" applyProtection="1">
      <alignment horizontal="left" vertical="center" wrapText="1" indent="1"/>
      <protection/>
    </xf>
    <xf numFmtId="49" fontId="34" fillId="0" borderId="0" xfId="113" applyNumberFormat="1" applyFont="1" applyFill="1" applyBorder="1" applyAlignment="1" applyProtection="1">
      <alignment horizontal="center" vertical="center" wrapText="1"/>
      <protection/>
    </xf>
    <xf numFmtId="2" fontId="34" fillId="0" borderId="0" xfId="105" applyNumberFormat="1" applyFont="1" applyFill="1" applyBorder="1" applyAlignment="1" applyProtection="1">
      <alignment horizontal="center" vertical="center"/>
      <protection/>
    </xf>
    <xf numFmtId="2" fontId="28" fillId="0" borderId="0" xfId="105" applyNumberFormat="1" applyFont="1" applyFill="1" applyBorder="1" applyAlignment="1" applyProtection="1">
      <alignment horizontal="center" vertical="center"/>
      <protection/>
    </xf>
    <xf numFmtId="0" fontId="34" fillId="0" borderId="0" xfId="105" applyFont="1" applyFill="1" applyBorder="1" applyAlignment="1" applyProtection="1">
      <alignment vertical="center"/>
      <protection/>
    </xf>
    <xf numFmtId="0" fontId="35" fillId="0" borderId="9" xfId="118" applyFont="1" applyBorder="1" applyAlignment="1" applyProtection="1">
      <alignment horizontal="center" vertical="center" wrapText="1"/>
      <protection/>
    </xf>
    <xf numFmtId="0" fontId="33" fillId="0" borderId="9" xfId="100" applyFont="1" applyFill="1" applyBorder="1" applyAlignment="1" applyProtection="1">
      <alignment horizontal="center" vertical="center"/>
      <protection/>
    </xf>
    <xf numFmtId="0" fontId="33" fillId="0" borderId="9" xfId="100" applyFont="1" applyFill="1" applyBorder="1" applyAlignment="1" applyProtection="1">
      <alignment vertical="center"/>
      <protection/>
    </xf>
    <xf numFmtId="2" fontId="28" fillId="38" borderId="9" xfId="100" applyNumberFormat="1" applyFont="1" applyFill="1" applyBorder="1" applyAlignment="1" applyProtection="1">
      <alignment horizontal="center" vertical="center"/>
      <protection/>
    </xf>
    <xf numFmtId="0" fontId="3" fillId="0" borderId="9" xfId="100" applyFont="1" applyFill="1" applyBorder="1" applyAlignment="1" applyProtection="1">
      <alignment horizontal="center" vertical="center"/>
      <protection/>
    </xf>
    <xf numFmtId="0" fontId="33" fillId="0" borderId="9" xfId="100" applyFont="1" applyFill="1" applyBorder="1" applyAlignment="1" applyProtection="1">
      <alignment vertical="center" wrapText="1"/>
      <protection/>
    </xf>
    <xf numFmtId="0" fontId="3" fillId="40" borderId="9" xfId="117" applyFont="1" applyFill="1" applyBorder="1" applyAlignment="1" applyProtection="1">
      <alignment vertical="center" wrapText="1"/>
      <protection/>
    </xf>
    <xf numFmtId="49" fontId="36" fillId="40" borderId="9" xfId="88" applyFont="1" applyFill="1" applyBorder="1" applyAlignment="1" applyProtection="1">
      <alignment horizontal="left" vertical="center"/>
      <protection/>
    </xf>
    <xf numFmtId="0" fontId="0" fillId="0" borderId="9" xfId="118" applyFont="1" applyBorder="1" applyAlignment="1" applyProtection="1">
      <alignment horizontal="center" vertical="center" wrapText="1"/>
      <protection/>
    </xf>
    <xf numFmtId="49" fontId="3" fillId="0" borderId="9" xfId="129" applyNumberFormat="1" applyFont="1" applyFill="1" applyBorder="1" applyAlignment="1" applyProtection="1">
      <alignment horizontal="center" vertical="center" wrapText="1"/>
      <protection/>
    </xf>
    <xf numFmtId="4" fontId="28" fillId="38" borderId="9" xfId="105" applyNumberFormat="1" applyFont="1" applyFill="1" applyBorder="1" applyAlignment="1" applyProtection="1">
      <alignment horizontal="center" vertical="center" wrapText="1"/>
      <protection/>
    </xf>
    <xf numFmtId="4" fontId="3" fillId="38" borderId="9" xfId="105" applyNumberFormat="1" applyFont="1" applyFill="1" applyBorder="1" applyAlignment="1" applyProtection="1">
      <alignment horizontal="center" vertical="center" wrapText="1"/>
      <protection/>
    </xf>
    <xf numFmtId="0" fontId="3" fillId="0" borderId="9" xfId="118" applyFont="1" applyBorder="1" applyAlignment="1" applyProtection="1">
      <alignment horizontal="center" vertical="center" wrapText="1"/>
      <protection/>
    </xf>
    <xf numFmtId="0" fontId="39" fillId="0" borderId="9" xfId="118" applyFont="1" applyBorder="1" applyAlignment="1" applyProtection="1">
      <alignment horizontal="center" vertical="center" wrapText="1"/>
      <protection/>
    </xf>
    <xf numFmtId="0" fontId="39" fillId="40" borderId="9" xfId="117" applyFont="1" applyFill="1" applyBorder="1" applyAlignment="1" applyProtection="1">
      <alignment vertical="center" wrapText="1"/>
      <protection/>
    </xf>
    <xf numFmtId="0" fontId="28" fillId="0" borderId="9" xfId="100" applyFont="1" applyFill="1" applyBorder="1" applyAlignment="1" applyProtection="1">
      <alignment horizontal="center" vertical="center"/>
      <protection/>
    </xf>
    <xf numFmtId="4" fontId="28" fillId="38" borderId="9" xfId="100" applyNumberFormat="1" applyFont="1" applyFill="1" applyBorder="1" applyAlignment="1" applyProtection="1">
      <alignment horizontal="center" vertical="center" wrapText="1"/>
      <protection/>
    </xf>
    <xf numFmtId="0" fontId="39" fillId="0" borderId="9" xfId="100" applyFont="1" applyFill="1" applyBorder="1" applyAlignment="1" applyProtection="1">
      <alignment horizontal="center" vertical="center"/>
      <protection/>
    </xf>
    <xf numFmtId="4" fontId="3" fillId="38" borderId="9" xfId="100" applyNumberFormat="1" applyFont="1" applyFill="1" applyBorder="1" applyAlignment="1" applyProtection="1">
      <alignment horizontal="center" vertical="center" wrapText="1"/>
      <protection/>
    </xf>
    <xf numFmtId="0" fontId="3" fillId="0" borderId="9" xfId="100" applyFont="1" applyFill="1" applyBorder="1" applyAlignment="1" applyProtection="1">
      <alignment vertical="center"/>
      <protection/>
    </xf>
    <xf numFmtId="2" fontId="3" fillId="38" borderId="9" xfId="100" applyNumberFormat="1" applyFont="1" applyFill="1" applyBorder="1" applyAlignment="1" applyProtection="1">
      <alignment horizontal="center" vertical="center"/>
      <protection/>
    </xf>
    <xf numFmtId="0" fontId="39" fillId="0" borderId="0" xfId="105" applyFont="1" applyFill="1" applyAlignment="1" applyProtection="1">
      <alignment vertical="center"/>
      <protection/>
    </xf>
    <xf numFmtId="4" fontId="3" fillId="0" borderId="9" xfId="100" applyNumberFormat="1" applyFont="1" applyFill="1" applyBorder="1" applyAlignment="1" applyProtection="1">
      <alignment horizontal="center" vertical="center" wrapText="1"/>
      <protection/>
    </xf>
    <xf numFmtId="0" fontId="3" fillId="40" borderId="9" xfId="117" applyFont="1" applyFill="1" applyBorder="1" applyAlignment="1" applyProtection="1">
      <alignment horizontal="center" vertical="center" wrapText="1"/>
      <protection/>
    </xf>
    <xf numFmtId="0" fontId="33" fillId="0" borderId="9" xfId="100" applyFont="1" applyFill="1" applyBorder="1" applyAlignment="1" applyProtection="1">
      <alignment horizontal="center" vertical="center" wrapText="1"/>
      <protection/>
    </xf>
    <xf numFmtId="4" fontId="33" fillId="0" borderId="9" xfId="100" applyNumberFormat="1" applyFont="1" applyFill="1" applyBorder="1" applyAlignment="1" applyProtection="1">
      <alignment horizontal="center" vertical="center" wrapText="1"/>
      <protection/>
    </xf>
    <xf numFmtId="4" fontId="34" fillId="0" borderId="9" xfId="100" applyNumberFormat="1" applyFont="1" applyFill="1" applyBorder="1" applyAlignment="1" applyProtection="1">
      <alignment horizontal="center" vertical="center" wrapText="1"/>
      <protection/>
    </xf>
    <xf numFmtId="49" fontId="3" fillId="0" borderId="16" xfId="88" applyFont="1" applyFill="1" applyBorder="1" applyAlignment="1" applyProtection="1">
      <alignment vertical="center" wrapText="1"/>
      <protection/>
    </xf>
    <xf numFmtId="49" fontId="3" fillId="0" borderId="0" xfId="88" applyFont="1" applyBorder="1" applyAlignment="1" applyProtection="1">
      <alignment vertical="center" wrapText="1"/>
      <protection/>
    </xf>
    <xf numFmtId="0" fontId="33" fillId="41" borderId="0" xfId="105" applyFont="1" applyFill="1" applyBorder="1" applyAlignment="1" applyProtection="1">
      <alignment horizontal="right" vertical="center" wrapText="1"/>
      <protection/>
    </xf>
    <xf numFmtId="0" fontId="28" fillId="0" borderId="0" xfId="91" applyFont="1" applyAlignment="1" applyProtection="1">
      <alignment vertical="center"/>
      <protection/>
    </xf>
    <xf numFmtId="0" fontId="33" fillId="0" borderId="0" xfId="105" applyFont="1" applyFill="1" applyBorder="1" applyAlignment="1" applyProtection="1">
      <alignment horizontal="right" vertical="center" wrapText="1"/>
      <protection/>
    </xf>
    <xf numFmtId="0" fontId="33" fillId="0" borderId="17" xfId="105" applyFont="1" applyFill="1" applyBorder="1" applyAlignment="1" applyProtection="1">
      <alignment horizontal="right" vertical="center" wrapText="1"/>
      <protection/>
    </xf>
    <xf numFmtId="0" fontId="33" fillId="41" borderId="0" xfId="105" applyFont="1" applyFill="1" applyBorder="1" applyAlignment="1" applyProtection="1">
      <alignment vertical="center" wrapText="1"/>
      <protection/>
    </xf>
    <xf numFmtId="0" fontId="3" fillId="41" borderId="0" xfId="105" applyFont="1" applyFill="1" applyBorder="1" applyAlignment="1" applyProtection="1">
      <alignment vertical="center" wrapText="1"/>
      <protection/>
    </xf>
    <xf numFmtId="0" fontId="33" fillId="41" borderId="0" xfId="105" applyFont="1" applyFill="1" applyBorder="1" applyAlignment="1" applyProtection="1">
      <alignment horizontal="right" vertical="center"/>
      <protection/>
    </xf>
    <xf numFmtId="0" fontId="3" fillId="41" borderId="0" xfId="105" applyFont="1" applyFill="1" applyBorder="1" applyAlignment="1" applyProtection="1">
      <alignment horizontal="right" vertical="center"/>
      <protection/>
    </xf>
    <xf numFmtId="4" fontId="28" fillId="38" borderId="9" xfId="100" applyNumberFormat="1" applyFont="1" applyFill="1" applyBorder="1" applyAlignment="1" applyProtection="1">
      <alignment horizontal="center" vertical="center"/>
      <protection/>
    </xf>
    <xf numFmtId="4" fontId="3" fillId="40" borderId="9" xfId="117" applyNumberFormat="1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 applyProtection="1">
      <alignment horizontal="center" vertical="center"/>
      <protection/>
    </xf>
    <xf numFmtId="0" fontId="33" fillId="0" borderId="9" xfId="0" applyFont="1" applyFill="1" applyBorder="1" applyAlignment="1" applyProtection="1">
      <alignment vertical="center"/>
      <protection/>
    </xf>
    <xf numFmtId="14" fontId="3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4" fontId="33" fillId="0" borderId="9" xfId="0" applyNumberFormat="1" applyFont="1" applyFill="1" applyBorder="1" applyAlignment="1" applyProtection="1">
      <alignment horizontal="right" vertical="center"/>
      <protection/>
    </xf>
    <xf numFmtId="4" fontId="38" fillId="38" borderId="9" xfId="100" applyNumberFormat="1" applyFont="1" applyFill="1" applyBorder="1" applyAlignment="1" applyProtection="1">
      <alignment horizontal="center" vertical="center" wrapText="1"/>
      <protection/>
    </xf>
    <xf numFmtId="4" fontId="33" fillId="38" borderId="9" xfId="100" applyNumberFormat="1" applyFont="1" applyFill="1" applyBorder="1" applyAlignment="1" applyProtection="1">
      <alignment horizontal="center" vertical="center" wrapText="1"/>
      <protection/>
    </xf>
    <xf numFmtId="0" fontId="28" fillId="0" borderId="9" xfId="100" applyFont="1" applyFill="1" applyBorder="1" applyAlignment="1" applyProtection="1">
      <alignment horizontal="left" vertical="center" wrapText="1"/>
      <protection/>
    </xf>
    <xf numFmtId="0" fontId="28" fillId="0" borderId="9" xfId="100" applyFont="1" applyFill="1" applyBorder="1" applyAlignment="1" applyProtection="1">
      <alignment horizontal="center" vertical="center" wrapText="1"/>
      <protection/>
    </xf>
    <xf numFmtId="0" fontId="3" fillId="0" borderId="9" xfId="100" applyFont="1" applyFill="1" applyBorder="1" applyAlignment="1" applyProtection="1">
      <alignment horizontal="left" vertical="center" wrapText="1" indent="1"/>
      <protection/>
    </xf>
    <xf numFmtId="0" fontId="3" fillId="0" borderId="9" xfId="100" applyFont="1" applyFill="1" applyBorder="1" applyAlignment="1" applyProtection="1">
      <alignment horizontal="center" vertical="center" wrapText="1"/>
      <protection/>
    </xf>
    <xf numFmtId="0" fontId="3" fillId="0" borderId="9" xfId="100" applyNumberFormat="1" applyFont="1" applyFill="1" applyBorder="1" applyAlignment="1" applyProtection="1">
      <alignment horizontal="left" vertical="center" wrapText="1" indent="1"/>
      <protection/>
    </xf>
    <xf numFmtId="49" fontId="38" fillId="0" borderId="9" xfId="100" applyNumberFormat="1" applyFont="1" applyFill="1" applyBorder="1" applyAlignment="1" applyProtection="1">
      <alignment horizontal="center" vertical="center" wrapText="1"/>
      <protection/>
    </xf>
    <xf numFmtId="0" fontId="38" fillId="0" borderId="9" xfId="100" applyFont="1" applyFill="1" applyBorder="1" applyAlignment="1" applyProtection="1">
      <alignment horizontal="left" vertical="center" wrapText="1"/>
      <protection/>
    </xf>
    <xf numFmtId="0" fontId="38" fillId="0" borderId="9" xfId="100" applyFont="1" applyFill="1" applyBorder="1" applyAlignment="1" applyProtection="1">
      <alignment horizontal="center" vertical="center" wrapText="1"/>
      <protection/>
    </xf>
    <xf numFmtId="0" fontId="33" fillId="0" borderId="9" xfId="118" applyFont="1" applyBorder="1" applyAlignment="1" applyProtection="1">
      <alignment horizontal="left" vertical="center" wrapText="1"/>
      <protection/>
    </xf>
    <xf numFmtId="0" fontId="29" fillId="0" borderId="9" xfId="118" applyFont="1" applyBorder="1" applyAlignment="1" applyProtection="1">
      <alignment horizontal="center" vertical="center" wrapText="1"/>
      <protection/>
    </xf>
    <xf numFmtId="0" fontId="42" fillId="0" borderId="9" xfId="118" applyFont="1" applyBorder="1" applyAlignment="1" applyProtection="1">
      <alignment horizontal="center" vertical="center" wrapText="1"/>
      <protection/>
    </xf>
    <xf numFmtId="0" fontId="29" fillId="40" borderId="9" xfId="117" applyFont="1" applyFill="1" applyBorder="1" applyAlignment="1" applyProtection="1">
      <alignment vertical="center" wrapText="1"/>
      <protection/>
    </xf>
    <xf numFmtId="4" fontId="29" fillId="40" borderId="9" xfId="117" applyNumberFormat="1" applyFont="1" applyFill="1" applyBorder="1" applyAlignment="1" applyProtection="1">
      <alignment horizontal="center" vertical="center" wrapText="1"/>
      <protection/>
    </xf>
    <xf numFmtId="4" fontId="31" fillId="0" borderId="9" xfId="100" applyNumberFormat="1" applyFont="1" applyFill="1" applyBorder="1" applyAlignment="1" applyProtection="1">
      <alignment horizontal="center" vertical="center"/>
      <protection/>
    </xf>
    <xf numFmtId="4" fontId="29" fillId="0" borderId="9" xfId="100" applyNumberFormat="1" applyFont="1" applyFill="1" applyBorder="1" applyAlignment="1" applyProtection="1">
      <alignment horizontal="center" vertical="center"/>
      <protection/>
    </xf>
    <xf numFmtId="0" fontId="41" fillId="0" borderId="9" xfId="100" applyFont="1" applyFill="1" applyBorder="1" applyAlignment="1" applyProtection="1">
      <alignment horizontal="center" vertical="center"/>
      <protection/>
    </xf>
    <xf numFmtId="0" fontId="123" fillId="0" borderId="9" xfId="100" applyFont="1" applyFill="1" applyBorder="1" applyAlignment="1" applyProtection="1">
      <alignment vertical="center" wrapText="1"/>
      <protection/>
    </xf>
    <xf numFmtId="4" fontId="30" fillId="38" borderId="9" xfId="100" applyNumberFormat="1" applyFont="1" applyFill="1" applyBorder="1" applyAlignment="1" applyProtection="1">
      <alignment horizontal="center" vertical="center"/>
      <protection/>
    </xf>
    <xf numFmtId="0" fontId="29" fillId="0" borderId="9" xfId="100" applyFont="1" applyFill="1" applyBorder="1" applyAlignment="1" applyProtection="1">
      <alignment horizontal="center" vertical="center"/>
      <protection/>
    </xf>
    <xf numFmtId="0" fontId="31" fillId="0" borderId="9" xfId="100" applyFont="1" applyFill="1" applyBorder="1" applyAlignment="1" applyProtection="1">
      <alignment vertical="center" wrapText="1"/>
      <protection/>
    </xf>
    <xf numFmtId="4" fontId="31" fillId="38" borderId="9" xfId="100" applyNumberFormat="1" applyFont="1" applyFill="1" applyBorder="1" applyAlignment="1" applyProtection="1">
      <alignment horizontal="center" vertical="center"/>
      <protection/>
    </xf>
    <xf numFmtId="4" fontId="30" fillId="0" borderId="9" xfId="100" applyNumberFormat="1" applyFont="1" applyFill="1" applyBorder="1" applyAlignment="1" applyProtection="1">
      <alignment horizontal="center" vertical="center"/>
      <protection/>
    </xf>
    <xf numFmtId="49" fontId="41" fillId="0" borderId="0" xfId="105" applyNumberFormat="1" applyFont="1" applyFill="1" applyBorder="1" applyAlignment="1" applyProtection="1">
      <alignment horizontal="center" vertical="center" wrapText="1"/>
      <protection/>
    </xf>
    <xf numFmtId="0" fontId="41" fillId="0" borderId="0" xfId="105" applyFont="1" applyFill="1" applyBorder="1" applyAlignment="1" applyProtection="1">
      <alignment horizontal="left" vertical="center" wrapText="1" indent="1"/>
      <protection/>
    </xf>
    <xf numFmtId="49" fontId="41" fillId="0" borderId="0" xfId="113" applyNumberFormat="1" applyFont="1" applyFill="1" applyBorder="1" applyAlignment="1" applyProtection="1">
      <alignment horizontal="center" vertical="center" wrapText="1"/>
      <protection/>
    </xf>
    <xf numFmtId="2" fontId="41" fillId="0" borderId="0" xfId="105" applyNumberFormat="1" applyFont="1" applyFill="1" applyBorder="1" applyAlignment="1" applyProtection="1">
      <alignment horizontal="center" vertical="center"/>
      <protection/>
    </xf>
    <xf numFmtId="2" fontId="30" fillId="0" borderId="0" xfId="105" applyNumberFormat="1" applyFont="1" applyFill="1" applyBorder="1" applyAlignment="1" applyProtection="1">
      <alignment horizontal="center" vertical="center"/>
      <protection/>
    </xf>
    <xf numFmtId="0" fontId="32" fillId="0" borderId="0" xfId="105" applyFont="1" applyFill="1" applyAlignment="1" applyProtection="1">
      <alignment vertical="center"/>
      <protection/>
    </xf>
    <xf numFmtId="0" fontId="123" fillId="0" borderId="0" xfId="0" applyFont="1" applyAlignment="1">
      <alignment/>
    </xf>
    <xf numFmtId="0" fontId="41" fillId="0" borderId="0" xfId="105" applyFont="1" applyFill="1" applyBorder="1" applyAlignment="1" applyProtection="1">
      <alignment vertical="center"/>
      <protection/>
    </xf>
    <xf numFmtId="0" fontId="123" fillId="0" borderId="0" xfId="0" applyFont="1" applyAlignment="1">
      <alignment horizontal="center"/>
    </xf>
    <xf numFmtId="0" fontId="123" fillId="0" borderId="0" xfId="0" applyFont="1" applyAlignment="1">
      <alignment horizontal="center" vertical="center"/>
    </xf>
    <xf numFmtId="0" fontId="123" fillId="0" borderId="9" xfId="0" applyFont="1" applyBorder="1" applyAlignment="1">
      <alignment horizontal="center" vertical="center" wrapText="1"/>
    </xf>
    <xf numFmtId="0" fontId="124" fillId="0" borderId="18" xfId="0" applyFont="1" applyBorder="1" applyAlignment="1">
      <alignment horizontal="center" vertical="center"/>
    </xf>
    <xf numFmtId="0" fontId="124" fillId="0" borderId="18" xfId="0" applyFont="1" applyBorder="1" applyAlignment="1">
      <alignment horizontal="left" vertical="center" wrapText="1"/>
    </xf>
    <xf numFmtId="0" fontId="124" fillId="0" borderId="9" xfId="0" applyFont="1" applyBorder="1" applyAlignment="1">
      <alignment horizontal="center" vertical="center"/>
    </xf>
    <xf numFmtId="0" fontId="124" fillId="0" borderId="0" xfId="0" applyFont="1" applyAlignment="1">
      <alignment horizontal="center" vertical="center"/>
    </xf>
    <xf numFmtId="49" fontId="124" fillId="0" borderId="9" xfId="0" applyNumberFormat="1" applyFont="1" applyBorder="1" applyAlignment="1">
      <alignment horizontal="center" vertical="center"/>
    </xf>
    <xf numFmtId="0" fontId="124" fillId="0" borderId="9" xfId="0" applyFont="1" applyBorder="1" applyAlignment="1">
      <alignment vertical="center" wrapText="1"/>
    </xf>
    <xf numFmtId="0" fontId="123" fillId="0" borderId="9" xfId="0" applyFont="1" applyBorder="1" applyAlignment="1">
      <alignment vertical="center"/>
    </xf>
    <xf numFmtId="0" fontId="123" fillId="0" borderId="0" xfId="0" applyFont="1" applyAlignment="1">
      <alignment vertical="center"/>
    </xf>
    <xf numFmtId="0" fontId="123" fillId="0" borderId="9" xfId="0" applyFont="1" applyBorder="1" applyAlignment="1">
      <alignment horizontal="center" vertical="center"/>
    </xf>
    <xf numFmtId="49" fontId="123" fillId="0" borderId="9" xfId="0" applyNumberFormat="1" applyFont="1" applyBorder="1" applyAlignment="1">
      <alignment horizontal="center" vertical="center"/>
    </xf>
    <xf numFmtId="0" fontId="123" fillId="0" borderId="9" xfId="0" applyFont="1" applyBorder="1" applyAlignment="1">
      <alignment vertical="center" wrapText="1"/>
    </xf>
    <xf numFmtId="0" fontId="124" fillId="42" borderId="9" xfId="0" applyFont="1" applyFill="1" applyBorder="1" applyAlignment="1">
      <alignment horizontal="center" vertical="center"/>
    </xf>
    <xf numFmtId="49" fontId="123" fillId="0" borderId="0" xfId="0" applyNumberFormat="1" applyFont="1" applyAlignment="1">
      <alignment horizontal="center"/>
    </xf>
    <xf numFmtId="0" fontId="123" fillId="0" borderId="0" xfId="0" applyFont="1" applyAlignment="1">
      <alignment wrapText="1"/>
    </xf>
    <xf numFmtId="0" fontId="124" fillId="0" borderId="0" xfId="0" applyFont="1" applyAlignment="1">
      <alignment vertical="center"/>
    </xf>
    <xf numFmtId="0" fontId="3" fillId="41" borderId="0" xfId="116" applyFont="1" applyFill="1" applyBorder="1" applyAlignment="1" applyProtection="1">
      <alignment vertical="center" wrapText="1"/>
      <protection/>
    </xf>
    <xf numFmtId="0" fontId="3" fillId="41" borderId="0" xfId="115" applyFont="1" applyFill="1" applyBorder="1" applyAlignment="1" applyProtection="1">
      <alignment horizontal="right" vertical="center" wrapText="1" indent="1"/>
      <protection/>
    </xf>
    <xf numFmtId="0" fontId="45" fillId="41" borderId="0" xfId="121" applyNumberFormat="1" applyFont="1" applyFill="1" applyBorder="1" applyAlignment="1" applyProtection="1">
      <alignment horizontal="center" vertical="center" wrapText="1"/>
      <protection/>
    </xf>
    <xf numFmtId="0" fontId="3" fillId="41" borderId="0" xfId="121" applyNumberFormat="1" applyFont="1" applyFill="1" applyBorder="1" applyAlignment="1" applyProtection="1">
      <alignment horizontal="center" vertical="center" wrapText="1"/>
      <protection/>
    </xf>
    <xf numFmtId="0" fontId="33" fillId="41" borderId="0" xfId="116" applyFont="1" applyFill="1" applyBorder="1" applyAlignment="1" applyProtection="1">
      <alignment horizontal="center" vertical="center" wrapText="1"/>
      <protection/>
    </xf>
    <xf numFmtId="0" fontId="3" fillId="0" borderId="0" xfId="121" applyNumberFormat="1" applyFont="1" applyFill="1" applyBorder="1" applyAlignment="1" applyProtection="1">
      <alignment horizontal="center" vertical="center" wrapText="1"/>
      <protection/>
    </xf>
    <xf numFmtId="0" fontId="33" fillId="0" borderId="0" xfId="116" applyFont="1" applyFill="1" applyBorder="1" applyAlignment="1" applyProtection="1">
      <alignment horizontal="center" vertical="center" wrapText="1"/>
      <protection/>
    </xf>
    <xf numFmtId="49" fontId="3" fillId="41" borderId="0" xfId="121" applyNumberFormat="1" applyFont="1" applyFill="1" applyBorder="1" applyAlignment="1" applyProtection="1">
      <alignment horizontal="center" vertical="center" wrapText="1"/>
      <protection/>
    </xf>
    <xf numFmtId="0" fontId="33" fillId="41" borderId="0" xfId="121" applyNumberFormat="1" applyFont="1" applyFill="1" applyBorder="1" applyAlignment="1" applyProtection="1">
      <alignment horizontal="center" vertical="center" wrapText="1"/>
      <protection/>
    </xf>
    <xf numFmtId="0" fontId="0" fillId="41" borderId="0" xfId="115" applyFont="1" applyFill="1" applyBorder="1" applyAlignment="1" applyProtection="1">
      <alignment horizontal="right" vertical="center" wrapText="1" indent="1"/>
      <protection/>
    </xf>
    <xf numFmtId="4" fontId="3" fillId="0" borderId="0" xfId="115" applyNumberFormat="1" applyFont="1" applyFill="1" applyBorder="1" applyAlignment="1" applyProtection="1">
      <alignment horizontal="center" vertical="center"/>
      <protection/>
    </xf>
    <xf numFmtId="0" fontId="3" fillId="41" borderId="0" xfId="115" applyFont="1" applyFill="1" applyBorder="1" applyAlignment="1" applyProtection="1">
      <alignment horizontal="center" vertical="center" wrapText="1"/>
      <protection/>
    </xf>
    <xf numFmtId="49" fontId="33" fillId="41" borderId="0" xfId="121" applyNumberFormat="1" applyFont="1" applyFill="1" applyBorder="1" applyAlignment="1" applyProtection="1">
      <alignment horizontal="center" vertical="center" wrapText="1"/>
      <protection/>
    </xf>
    <xf numFmtId="49" fontId="56" fillId="38" borderId="19" xfId="115" applyNumberFormat="1" applyFont="1" applyFill="1" applyBorder="1" applyAlignment="1" applyProtection="1">
      <alignment horizontal="center" vertical="center" wrapText="1"/>
      <protection/>
    </xf>
    <xf numFmtId="0" fontId="0" fillId="43" borderId="0" xfId="0" applyFill="1" applyAlignment="1">
      <alignment/>
    </xf>
    <xf numFmtId="0" fontId="34" fillId="0" borderId="0" xfId="105" applyFont="1" applyFill="1" applyBorder="1" applyAlignment="1">
      <alignment horizontal="left" vertical="center"/>
      <protection/>
    </xf>
    <xf numFmtId="4" fontId="29" fillId="41" borderId="14" xfId="100" applyNumberFormat="1" applyFont="1" applyFill="1" applyBorder="1" applyAlignment="1" applyProtection="1">
      <alignment horizontal="center" vertical="center" wrapText="1"/>
      <protection/>
    </xf>
    <xf numFmtId="0" fontId="31" fillId="44" borderId="20" xfId="98" applyFont="1" applyFill="1" applyBorder="1" applyAlignment="1" applyProtection="1">
      <alignment vertical="center" wrapText="1"/>
      <protection/>
    </xf>
    <xf numFmtId="0" fontId="29" fillId="44" borderId="21" xfId="98" applyFont="1" applyFill="1" applyBorder="1" applyAlignment="1" applyProtection="1">
      <alignment horizontal="center" vertical="center"/>
      <protection/>
    </xf>
    <xf numFmtId="0" fontId="29" fillId="44" borderId="22" xfId="98" applyFont="1" applyFill="1" applyBorder="1" applyAlignment="1" applyProtection="1">
      <alignment vertical="center"/>
      <protection/>
    </xf>
    <xf numFmtId="0" fontId="29" fillId="44" borderId="23" xfId="100" applyFont="1" applyFill="1" applyBorder="1" applyAlignment="1" applyProtection="1">
      <alignment horizontal="center" vertical="center"/>
      <protection/>
    </xf>
    <xf numFmtId="49" fontId="29" fillId="44" borderId="24" xfId="100" applyNumberFormat="1" applyFont="1" applyFill="1" applyBorder="1" applyAlignment="1" applyProtection="1">
      <alignment horizontal="center" vertical="center"/>
      <protection/>
    </xf>
    <xf numFmtId="0" fontId="29" fillId="44" borderId="25" xfId="98" applyFont="1" applyFill="1" applyBorder="1" applyAlignment="1" applyProtection="1">
      <alignment vertical="center"/>
      <protection/>
    </xf>
    <xf numFmtId="0" fontId="29" fillId="44" borderId="9" xfId="98" applyFont="1" applyFill="1" applyBorder="1" applyAlignment="1" applyProtection="1">
      <alignment horizontal="center" vertical="center"/>
      <protection/>
    </xf>
    <xf numFmtId="0" fontId="29" fillId="0" borderId="0" xfId="100" applyFont="1" applyAlignment="1" applyProtection="1">
      <alignment horizontal="center" vertical="center" wrapText="1"/>
      <protection/>
    </xf>
    <xf numFmtId="0" fontId="29" fillId="44" borderId="25" xfId="98" applyFont="1" applyFill="1" applyBorder="1" applyAlignment="1" applyProtection="1">
      <alignment wrapText="1"/>
      <protection/>
    </xf>
    <xf numFmtId="0" fontId="29" fillId="44" borderId="25" xfId="98" applyFont="1" applyFill="1" applyBorder="1" applyAlignment="1" applyProtection="1">
      <alignment vertical="center" wrapText="1"/>
      <protection/>
    </xf>
    <xf numFmtId="0" fontId="29" fillId="44" borderId="26" xfId="98" applyFont="1" applyFill="1" applyBorder="1" applyAlignment="1" applyProtection="1">
      <alignment vertical="center" wrapText="1"/>
      <protection/>
    </xf>
    <xf numFmtId="0" fontId="29" fillId="44" borderId="27" xfId="98" applyFont="1" applyFill="1" applyBorder="1" applyAlignment="1" applyProtection="1">
      <alignment horizontal="center" vertical="center"/>
      <protection/>
    </xf>
    <xf numFmtId="0" fontId="29" fillId="41" borderId="28" xfId="98" applyFont="1" applyFill="1" applyBorder="1" applyAlignment="1" applyProtection="1">
      <alignment horizontal="left"/>
      <protection/>
    </xf>
    <xf numFmtId="0" fontId="29" fillId="41" borderId="29" xfId="98" applyFont="1" applyFill="1" applyBorder="1" applyProtection="1">
      <alignment/>
      <protection/>
    </xf>
    <xf numFmtId="0" fontId="29" fillId="41" borderId="29" xfId="98" applyFont="1" applyFill="1" applyBorder="1" applyAlignment="1" applyProtection="1">
      <alignment horizontal="center" vertical="center"/>
      <protection/>
    </xf>
    <xf numFmtId="0" fontId="29" fillId="41" borderId="29" xfId="100" applyFont="1" applyFill="1" applyBorder="1" applyAlignment="1" applyProtection="1">
      <alignment horizontal="center" vertical="center"/>
      <protection/>
    </xf>
    <xf numFmtId="0" fontId="29" fillId="41" borderId="29" xfId="98" applyFont="1" applyFill="1" applyBorder="1" applyAlignment="1" applyProtection="1">
      <alignment horizontal="center"/>
      <protection/>
    </xf>
    <xf numFmtId="0" fontId="29" fillId="41" borderId="30" xfId="100" applyFont="1" applyFill="1" applyBorder="1" applyAlignment="1" applyProtection="1">
      <alignment horizontal="center" vertical="center"/>
      <protection/>
    </xf>
    <xf numFmtId="0" fontId="29" fillId="41" borderId="28" xfId="100" applyFont="1" applyFill="1" applyBorder="1" applyAlignment="1" applyProtection="1">
      <alignment horizontal="center" vertical="center"/>
      <protection/>
    </xf>
    <xf numFmtId="0" fontId="29" fillId="41" borderId="31" xfId="100" applyFont="1" applyFill="1" applyBorder="1" applyAlignment="1" applyProtection="1">
      <alignment horizontal="center" vertical="center"/>
      <protection/>
    </xf>
    <xf numFmtId="0" fontId="31" fillId="44" borderId="32" xfId="98" applyFont="1" applyFill="1" applyBorder="1" applyAlignment="1" applyProtection="1">
      <alignment horizontal="center" vertical="center"/>
      <protection/>
    </xf>
    <xf numFmtId="0" fontId="31" fillId="44" borderId="33" xfId="98" applyFont="1" applyFill="1" applyBorder="1" applyAlignment="1" applyProtection="1">
      <alignment vertical="center" wrapText="1"/>
      <protection/>
    </xf>
    <xf numFmtId="0" fontId="29" fillId="44" borderId="33" xfId="98" applyFont="1" applyFill="1" applyBorder="1" applyAlignment="1" applyProtection="1">
      <alignment horizontal="center" vertical="center"/>
      <protection/>
    </xf>
    <xf numFmtId="0" fontId="31" fillId="0" borderId="34" xfId="98" applyFont="1" applyFill="1" applyBorder="1" applyAlignment="1" applyProtection="1">
      <alignment horizontal="center" vertical="center"/>
      <protection/>
    </xf>
    <xf numFmtId="0" fontId="29" fillId="0" borderId="35" xfId="98" applyFont="1" applyFill="1" applyBorder="1" applyProtection="1">
      <alignment/>
      <protection/>
    </xf>
    <xf numFmtId="0" fontId="29" fillId="0" borderId="35" xfId="98" applyFont="1" applyFill="1" applyBorder="1" applyAlignment="1" applyProtection="1">
      <alignment horizontal="center" vertical="center"/>
      <protection/>
    </xf>
    <xf numFmtId="0" fontId="29" fillId="0" borderId="35" xfId="100" applyFont="1" applyFill="1" applyBorder="1" applyAlignment="1" applyProtection="1">
      <alignment horizontal="center" vertical="center"/>
      <protection/>
    </xf>
    <xf numFmtId="0" fontId="29" fillId="0" borderId="35" xfId="98" applyFont="1" applyFill="1" applyBorder="1" applyAlignment="1" applyProtection="1">
      <alignment horizontal="center"/>
      <protection/>
    </xf>
    <xf numFmtId="0" fontId="29" fillId="0" borderId="36" xfId="100" applyFont="1" applyFill="1" applyBorder="1" applyAlignment="1" applyProtection="1">
      <alignment horizontal="center" vertical="center"/>
      <protection/>
    </xf>
    <xf numFmtId="1" fontId="31" fillId="44" borderId="37" xfId="98" applyNumberFormat="1" applyFont="1" applyFill="1" applyBorder="1" applyAlignment="1" applyProtection="1">
      <alignment horizontal="center" vertical="center"/>
      <protection/>
    </xf>
    <xf numFmtId="0" fontId="31" fillId="44" borderId="22" xfId="98" applyFont="1" applyFill="1" applyBorder="1" applyAlignment="1" applyProtection="1">
      <alignment wrapText="1"/>
      <protection/>
    </xf>
    <xf numFmtId="0" fontId="29" fillId="44" borderId="23" xfId="98" applyFont="1" applyFill="1" applyBorder="1" applyAlignment="1" applyProtection="1">
      <alignment horizontal="center" vertical="center"/>
      <protection/>
    </xf>
    <xf numFmtId="0" fontId="29" fillId="44" borderId="38" xfId="98" applyFont="1" applyFill="1" applyBorder="1" applyAlignment="1" applyProtection="1">
      <alignment wrapText="1"/>
      <protection/>
    </xf>
    <xf numFmtId="0" fontId="29" fillId="44" borderId="18" xfId="98" applyFont="1" applyFill="1" applyBorder="1" applyAlignment="1" applyProtection="1">
      <alignment horizontal="center" vertical="center"/>
      <protection/>
    </xf>
    <xf numFmtId="0" fontId="29" fillId="44" borderId="39" xfId="98" applyFont="1" applyFill="1" applyBorder="1" applyAlignment="1" applyProtection="1">
      <alignment wrapText="1"/>
      <protection/>
    </xf>
    <xf numFmtId="0" fontId="29" fillId="44" borderId="29" xfId="98" applyFont="1" applyFill="1" applyBorder="1" applyAlignment="1" applyProtection="1">
      <alignment horizontal="center" vertical="center"/>
      <protection/>
    </xf>
    <xf numFmtId="4" fontId="29" fillId="41" borderId="29" xfId="100" applyNumberFormat="1" applyFont="1" applyFill="1" applyBorder="1" applyAlignment="1" applyProtection="1">
      <alignment horizontal="center" vertical="center"/>
      <protection/>
    </xf>
    <xf numFmtId="4" fontId="29" fillId="0" borderId="35" xfId="100" applyNumberFormat="1" applyFont="1" applyFill="1" applyBorder="1" applyAlignment="1" applyProtection="1">
      <alignment horizontal="center" vertical="center"/>
      <protection/>
    </xf>
    <xf numFmtId="4" fontId="3" fillId="40" borderId="9" xfId="117" applyNumberFormat="1" applyFont="1" applyFill="1" applyBorder="1" applyAlignment="1" applyProtection="1">
      <alignment vertical="center" wrapText="1"/>
      <protection/>
    </xf>
    <xf numFmtId="4" fontId="35" fillId="0" borderId="9" xfId="118" applyNumberFormat="1" applyFont="1" applyBorder="1" applyAlignment="1" applyProtection="1">
      <alignment horizontal="center" vertical="center" wrapText="1"/>
      <protection/>
    </xf>
    <xf numFmtId="4" fontId="3" fillId="0" borderId="9" xfId="100" applyNumberFormat="1" applyFont="1" applyFill="1" applyBorder="1" applyAlignment="1" applyProtection="1">
      <alignment horizontal="center" vertical="center"/>
      <protection/>
    </xf>
    <xf numFmtId="4" fontId="29" fillId="45" borderId="40" xfId="100" applyNumberFormat="1" applyFont="1" applyFill="1" applyBorder="1" applyAlignment="1" applyProtection="1">
      <alignment horizontal="center" vertical="center" wrapText="1"/>
      <protection/>
    </xf>
    <xf numFmtId="4" fontId="29" fillId="0" borderId="41" xfId="100" applyNumberFormat="1" applyFont="1" applyFill="1" applyBorder="1" applyAlignment="1" applyProtection="1">
      <alignment horizontal="center" vertical="center"/>
      <protection/>
    </xf>
    <xf numFmtId="4" fontId="31" fillId="44" borderId="21" xfId="100" applyNumberFormat="1" applyFont="1" applyFill="1" applyBorder="1" applyAlignment="1" applyProtection="1">
      <alignment horizontal="center" vertical="center"/>
      <protection/>
    </xf>
    <xf numFmtId="4" fontId="29" fillId="44" borderId="8" xfId="100" applyNumberFormat="1" applyFont="1" applyFill="1" applyBorder="1" applyAlignment="1" applyProtection="1">
      <alignment horizontal="center" vertical="center"/>
      <protection/>
    </xf>
    <xf numFmtId="4" fontId="29" fillId="44" borderId="42" xfId="100" applyNumberFormat="1" applyFont="1" applyFill="1" applyBorder="1" applyAlignment="1" applyProtection="1">
      <alignment horizontal="center" vertical="center"/>
      <protection/>
    </xf>
    <xf numFmtId="4" fontId="29" fillId="44" borderId="43" xfId="100" applyNumberFormat="1" applyFont="1" applyFill="1" applyBorder="1" applyAlignment="1" applyProtection="1">
      <alignment horizontal="center" vertical="center"/>
      <protection/>
    </xf>
    <xf numFmtId="4" fontId="29" fillId="0" borderId="36" xfId="100" applyNumberFormat="1" applyFont="1" applyFill="1" applyBorder="1" applyAlignment="1" applyProtection="1">
      <alignment horizontal="center" vertical="center"/>
      <protection/>
    </xf>
    <xf numFmtId="4" fontId="29" fillId="0" borderId="44" xfId="100" applyNumberFormat="1" applyFont="1" applyFill="1" applyBorder="1" applyAlignment="1" applyProtection="1">
      <alignment horizontal="center" vertical="center"/>
      <protection/>
    </xf>
    <xf numFmtId="4" fontId="29" fillId="44" borderId="21" xfId="100" applyNumberFormat="1" applyFont="1" applyFill="1" applyBorder="1" applyAlignment="1" applyProtection="1">
      <alignment vertical="center"/>
      <protection/>
    </xf>
    <xf numFmtId="4" fontId="29" fillId="36" borderId="45" xfId="100" applyNumberFormat="1" applyFont="1" applyFill="1" applyBorder="1" applyAlignment="1" applyProtection="1">
      <alignment horizontal="center" vertical="center"/>
      <protection locked="0"/>
    </xf>
    <xf numFmtId="4" fontId="29" fillId="36" borderId="46" xfId="100" applyNumberFormat="1" applyFont="1" applyFill="1" applyBorder="1" applyAlignment="1" applyProtection="1">
      <alignment horizontal="center" vertical="center"/>
      <protection locked="0"/>
    </xf>
    <xf numFmtId="4" fontId="29" fillId="36" borderId="14" xfId="100" applyNumberFormat="1" applyFont="1" applyFill="1" applyBorder="1" applyAlignment="1" applyProtection="1">
      <alignment horizontal="center" vertical="center"/>
      <protection locked="0"/>
    </xf>
    <xf numFmtId="4" fontId="29" fillId="36" borderId="40" xfId="100" applyNumberFormat="1" applyFont="1" applyFill="1" applyBorder="1" applyAlignment="1" applyProtection="1">
      <alignment horizontal="center" vertical="center"/>
      <protection locked="0"/>
    </xf>
    <xf numFmtId="4" fontId="29" fillId="36" borderId="31" xfId="100" applyNumberFormat="1" applyFont="1" applyFill="1" applyBorder="1" applyAlignment="1" applyProtection="1">
      <alignment horizontal="center" vertical="center"/>
      <protection locked="0"/>
    </xf>
    <xf numFmtId="4" fontId="31" fillId="0" borderId="47" xfId="100" applyNumberFormat="1" applyFont="1" applyFill="1" applyBorder="1" applyAlignment="1" applyProtection="1">
      <alignment horizontal="center" vertical="center"/>
      <protection/>
    </xf>
    <xf numFmtId="4" fontId="31" fillId="0" borderId="48" xfId="100" applyNumberFormat="1" applyFont="1" applyFill="1" applyBorder="1" applyAlignment="1" applyProtection="1">
      <alignment horizontal="center" vertical="center"/>
      <protection/>
    </xf>
    <xf numFmtId="4" fontId="31" fillId="0" borderId="34" xfId="100" applyNumberFormat="1" applyFont="1" applyFill="1" applyBorder="1" applyAlignment="1" applyProtection="1">
      <alignment horizontal="center" vertical="center"/>
      <protection/>
    </xf>
    <xf numFmtId="4" fontId="31" fillId="0" borderId="49" xfId="100" applyNumberFormat="1" applyFont="1" applyFill="1" applyBorder="1" applyAlignment="1" applyProtection="1">
      <alignment horizontal="center" vertical="center"/>
      <protection/>
    </xf>
    <xf numFmtId="4" fontId="29" fillId="0" borderId="35" xfId="100" applyNumberFormat="1" applyFont="1" applyFill="1" applyBorder="1" applyAlignment="1" applyProtection="1">
      <alignment horizontal="center" vertical="center" wrapText="1"/>
      <protection/>
    </xf>
    <xf numFmtId="4" fontId="29" fillId="0" borderId="18" xfId="100" applyNumberFormat="1" applyFont="1" applyFill="1" applyBorder="1" applyAlignment="1" applyProtection="1">
      <alignment horizontal="center" vertical="center" wrapText="1"/>
      <protection/>
    </xf>
    <xf numFmtId="4" fontId="29" fillId="0" borderId="50" xfId="100" applyNumberFormat="1" applyFont="1" applyFill="1" applyBorder="1" applyAlignment="1" applyProtection="1">
      <alignment horizontal="center" vertical="center" wrapText="1"/>
      <protection/>
    </xf>
    <xf numFmtId="4" fontId="29" fillId="0" borderId="51" xfId="100" applyNumberFormat="1" applyFont="1" applyFill="1" applyBorder="1" applyAlignment="1" applyProtection="1">
      <alignment horizontal="center" vertical="center" wrapText="1"/>
      <protection/>
    </xf>
    <xf numFmtId="4" fontId="29" fillId="0" borderId="52" xfId="100" applyNumberFormat="1" applyFont="1" applyFill="1" applyBorder="1" applyAlignment="1" applyProtection="1">
      <alignment horizontal="center" vertical="center" wrapText="1"/>
      <protection/>
    </xf>
    <xf numFmtId="4" fontId="29" fillId="0" borderId="53" xfId="100" applyNumberFormat="1" applyFont="1" applyFill="1" applyBorder="1" applyAlignment="1" applyProtection="1">
      <alignment horizontal="center" vertical="center" wrapText="1"/>
      <protection/>
    </xf>
    <xf numFmtId="4" fontId="31" fillId="0" borderId="35" xfId="100" applyNumberFormat="1" applyFont="1" applyFill="1" applyBorder="1" applyAlignment="1" applyProtection="1">
      <alignment horizontal="center" vertical="center" wrapText="1"/>
      <protection/>
    </xf>
    <xf numFmtId="4" fontId="31" fillId="0" borderId="36" xfId="100" applyNumberFormat="1" applyFont="1" applyFill="1" applyBorder="1" applyAlignment="1" applyProtection="1">
      <alignment horizontal="center" vertical="center" wrapText="1"/>
      <protection/>
    </xf>
    <xf numFmtId="4" fontId="31" fillId="0" borderId="44" xfId="100" applyNumberFormat="1" applyFont="1" applyFill="1" applyBorder="1" applyAlignment="1" applyProtection="1">
      <alignment horizontal="center" vertical="center"/>
      <protection/>
    </xf>
    <xf numFmtId="4" fontId="31" fillId="0" borderId="36" xfId="100" applyNumberFormat="1" applyFont="1" applyFill="1" applyBorder="1" applyAlignment="1" applyProtection="1">
      <alignment horizontal="center" vertical="center"/>
      <protection/>
    </xf>
    <xf numFmtId="4" fontId="29" fillId="0" borderId="9" xfId="100" applyNumberFormat="1" applyFont="1" applyFill="1" applyBorder="1" applyAlignment="1" applyProtection="1">
      <alignment horizontal="center" vertical="center" wrapText="1"/>
      <protection/>
    </xf>
    <xf numFmtId="4" fontId="29" fillId="0" borderId="54" xfId="100" applyNumberFormat="1" applyFont="1" applyFill="1" applyBorder="1" applyAlignment="1" applyProtection="1">
      <alignment horizontal="center" vertical="center" wrapText="1"/>
      <protection/>
    </xf>
    <xf numFmtId="4" fontId="29" fillId="0" borderId="25" xfId="100" applyNumberFormat="1" applyFont="1" applyFill="1" applyBorder="1" applyAlignment="1" applyProtection="1">
      <alignment horizontal="center" vertical="center" wrapText="1"/>
      <protection/>
    </xf>
    <xf numFmtId="4" fontId="29" fillId="0" borderId="55" xfId="100" applyNumberFormat="1" applyFont="1" applyFill="1" applyBorder="1" applyAlignment="1" applyProtection="1">
      <alignment horizontal="center" vertical="center" wrapText="1"/>
      <protection/>
    </xf>
    <xf numFmtId="4" fontId="29" fillId="0" borderId="40" xfId="100" applyNumberFormat="1" applyFont="1" applyFill="1" applyBorder="1" applyAlignment="1" applyProtection="1">
      <alignment horizontal="center" vertical="center" wrapText="1"/>
      <protection/>
    </xf>
    <xf numFmtId="4" fontId="29" fillId="0" borderId="46" xfId="100" applyNumberFormat="1" applyFont="1" applyFill="1" applyBorder="1" applyAlignment="1" applyProtection="1">
      <alignment horizontal="center" vertical="center" wrapText="1"/>
      <protection/>
    </xf>
    <xf numFmtId="4" fontId="29" fillId="0" borderId="27" xfId="100" applyNumberFormat="1" applyFont="1" applyFill="1" applyBorder="1" applyAlignment="1" applyProtection="1">
      <alignment horizontal="center" vertical="center"/>
      <protection/>
    </xf>
    <xf numFmtId="4" fontId="29" fillId="0" borderId="56" xfId="100" applyNumberFormat="1" applyFont="1" applyFill="1" applyBorder="1" applyAlignment="1" applyProtection="1">
      <alignment horizontal="center" vertical="center" wrapText="1"/>
      <protection/>
    </xf>
    <xf numFmtId="4" fontId="29" fillId="0" borderId="14" xfId="100" applyNumberFormat="1" applyFont="1" applyFill="1" applyBorder="1" applyAlignment="1" applyProtection="1">
      <alignment horizontal="center" vertical="center" wrapText="1"/>
      <protection/>
    </xf>
    <xf numFmtId="4" fontId="29" fillId="0" borderId="45" xfId="100" applyNumberFormat="1" applyFont="1" applyFill="1" applyBorder="1" applyAlignment="1" applyProtection="1">
      <alignment horizontal="center" vertical="center" wrapText="1"/>
      <protection/>
    </xf>
    <xf numFmtId="4" fontId="29" fillId="0" borderId="25" xfId="100" applyNumberFormat="1" applyFont="1" applyFill="1" applyBorder="1" applyAlignment="1" applyProtection="1">
      <alignment horizontal="center" vertical="center"/>
      <protection/>
    </xf>
    <xf numFmtId="4" fontId="29" fillId="0" borderId="14" xfId="100" applyNumberFormat="1" applyFont="1" applyFill="1" applyBorder="1" applyAlignment="1" applyProtection="1">
      <alignment horizontal="center" vertical="center"/>
      <protection/>
    </xf>
    <xf numFmtId="4" fontId="29" fillId="0" borderId="40" xfId="100" applyNumberFormat="1" applyFont="1" applyFill="1" applyBorder="1" applyAlignment="1" applyProtection="1">
      <alignment horizontal="center" vertical="center"/>
      <protection/>
    </xf>
    <xf numFmtId="4" fontId="29" fillId="0" borderId="45" xfId="100" applyNumberFormat="1" applyFont="1" applyFill="1" applyBorder="1" applyAlignment="1" applyProtection="1">
      <alignment horizontal="center" vertical="center"/>
      <protection/>
    </xf>
    <xf numFmtId="4" fontId="29" fillId="0" borderId="46" xfId="100" applyNumberFormat="1" applyFont="1" applyFill="1" applyBorder="1" applyAlignment="1" applyProtection="1">
      <alignment horizontal="center" vertical="center"/>
      <protection/>
    </xf>
    <xf numFmtId="4" fontId="29" fillId="36" borderId="14" xfId="100" applyNumberFormat="1" applyFont="1" applyFill="1" applyBorder="1" applyAlignment="1" applyProtection="1">
      <alignment horizontal="center" vertical="center" wrapText="1"/>
      <protection locked="0"/>
    </xf>
    <xf numFmtId="4" fontId="29" fillId="36" borderId="50" xfId="100" applyNumberFormat="1" applyFont="1" applyFill="1" applyBorder="1" applyAlignment="1" applyProtection="1">
      <alignment horizontal="center" vertical="center" wrapText="1"/>
      <protection locked="0"/>
    </xf>
    <xf numFmtId="4" fontId="29" fillId="36" borderId="40" xfId="100" applyNumberFormat="1" applyFont="1" applyFill="1" applyBorder="1" applyAlignment="1" applyProtection="1">
      <alignment horizontal="center" vertical="center" wrapText="1"/>
      <protection locked="0"/>
    </xf>
    <xf numFmtId="4" fontId="29" fillId="36" borderId="46" xfId="100" applyNumberFormat="1" applyFont="1" applyFill="1" applyBorder="1" applyAlignment="1" applyProtection="1">
      <alignment horizontal="center" vertical="center" wrapText="1"/>
      <protection locked="0"/>
    </xf>
    <xf numFmtId="4" fontId="29" fillId="0" borderId="38" xfId="100" applyNumberFormat="1" applyFont="1" applyFill="1" applyBorder="1" applyAlignment="1" applyProtection="1">
      <alignment horizontal="center" vertical="center"/>
      <protection/>
    </xf>
    <xf numFmtId="4" fontId="29" fillId="0" borderId="57" xfId="100" applyNumberFormat="1" applyFont="1" applyFill="1" applyBorder="1" applyAlignment="1" applyProtection="1">
      <alignment horizontal="center" vertical="center"/>
      <protection/>
    </xf>
    <xf numFmtId="4" fontId="29" fillId="0" borderId="51" xfId="100" applyNumberFormat="1" applyFont="1" applyFill="1" applyBorder="1" applyAlignment="1" applyProtection="1">
      <alignment horizontal="center" vertical="center"/>
      <protection/>
    </xf>
    <xf numFmtId="4" fontId="29" fillId="0" borderId="53" xfId="100" applyNumberFormat="1" applyFont="1" applyFill="1" applyBorder="1" applyAlignment="1" applyProtection="1">
      <alignment horizontal="center" vertical="center"/>
      <protection/>
    </xf>
    <xf numFmtId="4" fontId="29" fillId="0" borderId="56" xfId="100" applyNumberFormat="1" applyFont="1" applyFill="1" applyBorder="1" applyAlignment="1" applyProtection="1">
      <alignment horizontal="center" vertical="center"/>
      <protection/>
    </xf>
    <xf numFmtId="4" fontId="29" fillId="0" borderId="23" xfId="100" applyNumberFormat="1" applyFont="1" applyFill="1" applyBorder="1" applyAlignment="1" applyProtection="1">
      <alignment horizontal="center" vertical="center" wrapText="1"/>
      <protection/>
    </xf>
    <xf numFmtId="4" fontId="29" fillId="0" borderId="55" xfId="100" applyNumberFormat="1" applyFont="1" applyFill="1" applyBorder="1" applyAlignment="1" applyProtection="1">
      <alignment horizontal="center" vertical="center"/>
      <protection/>
    </xf>
    <xf numFmtId="4" fontId="31" fillId="36" borderId="47" xfId="100" applyNumberFormat="1" applyFont="1" applyFill="1" applyBorder="1" applyAlignment="1" applyProtection="1">
      <alignment horizontal="center" vertical="center"/>
      <protection locked="0"/>
    </xf>
    <xf numFmtId="4" fontId="31" fillId="36" borderId="34" xfId="100" applyNumberFormat="1" applyFont="1" applyFill="1" applyBorder="1" applyAlignment="1" applyProtection="1">
      <alignment horizontal="center" vertical="center" wrapText="1"/>
      <protection locked="0"/>
    </xf>
    <xf numFmtId="4" fontId="29" fillId="36" borderId="51" xfId="100" applyNumberFormat="1" applyFont="1" applyFill="1" applyBorder="1" applyAlignment="1" applyProtection="1">
      <alignment horizontal="center" vertical="center" wrapText="1"/>
      <protection locked="0"/>
    </xf>
    <xf numFmtId="4" fontId="29" fillId="0" borderId="58" xfId="100" applyNumberFormat="1" applyFont="1" applyFill="1" applyBorder="1" applyAlignment="1" applyProtection="1">
      <alignment horizontal="center" vertical="center"/>
      <protection/>
    </xf>
    <xf numFmtId="4" fontId="31" fillId="0" borderId="44" xfId="100" applyNumberFormat="1" applyFont="1" applyFill="1" applyBorder="1" applyAlignment="1" applyProtection="1">
      <alignment horizontal="center" vertical="center" wrapText="1"/>
      <protection/>
    </xf>
    <xf numFmtId="4" fontId="29" fillId="0" borderId="59" xfId="100" applyNumberFormat="1" applyFont="1" applyFill="1" applyBorder="1" applyAlignment="1" applyProtection="1">
      <alignment horizontal="center" vertical="center" wrapText="1"/>
      <protection/>
    </xf>
    <xf numFmtId="1" fontId="31" fillId="0" borderId="32" xfId="100" applyNumberFormat="1" applyFont="1" applyFill="1" applyBorder="1" applyAlignment="1" applyProtection="1">
      <alignment horizontal="center" vertical="center" wrapText="1"/>
      <protection/>
    </xf>
    <xf numFmtId="1" fontId="31" fillId="0" borderId="60" xfId="100" applyNumberFormat="1" applyFont="1" applyFill="1" applyBorder="1" applyAlignment="1" applyProtection="1">
      <alignment horizontal="center" vertical="center" wrapText="1"/>
      <protection/>
    </xf>
    <xf numFmtId="1" fontId="31" fillId="0" borderId="33" xfId="100" applyNumberFormat="1" applyFont="1" applyFill="1" applyBorder="1" applyAlignment="1" applyProtection="1">
      <alignment horizontal="center" vertical="center" wrapText="1"/>
      <protection/>
    </xf>
    <xf numFmtId="1" fontId="31" fillId="0" borderId="61" xfId="100" applyNumberFormat="1" applyFont="1" applyFill="1" applyBorder="1" applyAlignment="1" applyProtection="1">
      <alignment horizontal="center" vertical="center" wrapText="1"/>
      <protection/>
    </xf>
    <xf numFmtId="4" fontId="3" fillId="36" borderId="9" xfId="100" applyNumberFormat="1" applyFont="1" applyFill="1" applyBorder="1" applyAlignment="1" applyProtection="1">
      <alignment horizontal="center" vertical="center"/>
      <protection locked="0"/>
    </xf>
    <xf numFmtId="49" fontId="3" fillId="36" borderId="9" xfId="100" applyNumberFormat="1" applyFont="1" applyFill="1" applyBorder="1" applyAlignment="1" applyProtection="1">
      <alignment horizontal="left" vertical="center" wrapText="1" indent="1"/>
      <protection locked="0"/>
    </xf>
    <xf numFmtId="49" fontId="3" fillId="36" borderId="9" xfId="100" applyNumberFormat="1" applyFont="1" applyFill="1" applyBorder="1" applyAlignment="1" applyProtection="1">
      <alignment horizontal="center" vertical="center" wrapText="1"/>
      <protection locked="0"/>
    </xf>
    <xf numFmtId="4" fontId="28" fillId="0" borderId="9" xfId="100" applyNumberFormat="1" applyFont="1" applyFill="1" applyBorder="1" applyAlignment="1" applyProtection="1">
      <alignment horizontal="center" vertical="center"/>
      <protection/>
    </xf>
    <xf numFmtId="4" fontId="63" fillId="36" borderId="9" xfId="0" applyNumberFormat="1" applyFont="1" applyFill="1" applyBorder="1" applyAlignment="1" applyProtection="1">
      <alignment horizontal="center" vertical="center"/>
      <protection locked="0"/>
    </xf>
    <xf numFmtId="49" fontId="3" fillId="36" borderId="9" xfId="100" applyNumberFormat="1" applyFont="1" applyFill="1" applyBorder="1" applyAlignment="1" applyProtection="1">
      <alignment horizontal="left" vertical="center" wrapText="1"/>
      <protection locked="0"/>
    </xf>
    <xf numFmtId="49" fontId="0" fillId="36" borderId="9" xfId="100" applyNumberFormat="1" applyFont="1" applyFill="1" applyBorder="1" applyAlignment="1" applyProtection="1">
      <alignment horizontal="left" vertical="center" wrapText="1" indent="1"/>
      <protection locked="0"/>
    </xf>
    <xf numFmtId="49" fontId="0" fillId="36" borderId="9" xfId="100" applyNumberFormat="1" applyFont="1" applyFill="1" applyBorder="1" applyAlignment="1" applyProtection="1">
      <alignment vertical="center" wrapText="1"/>
      <protection locked="0"/>
    </xf>
    <xf numFmtId="0" fontId="3" fillId="36" borderId="9" xfId="115" applyFont="1" applyFill="1" applyBorder="1" applyAlignment="1" applyProtection="1">
      <alignment horizontal="center" vertical="center"/>
      <protection locked="0"/>
    </xf>
    <xf numFmtId="49" fontId="3" fillId="36" borderId="9" xfId="100" applyNumberFormat="1" applyFont="1" applyFill="1" applyBorder="1" applyAlignment="1" applyProtection="1">
      <alignment vertical="center" wrapText="1"/>
      <protection locked="0"/>
    </xf>
    <xf numFmtId="4" fontId="29" fillId="0" borderId="62" xfId="100" applyNumberFormat="1" applyFont="1" applyFill="1" applyBorder="1" applyAlignment="1" applyProtection="1">
      <alignment horizontal="center" vertical="center" wrapText="1"/>
      <protection/>
    </xf>
    <xf numFmtId="4" fontId="29" fillId="36" borderId="52" xfId="100" applyNumberFormat="1" applyFont="1" applyFill="1" applyBorder="1" applyAlignment="1" applyProtection="1">
      <alignment horizontal="center" vertical="center" wrapText="1"/>
      <protection locked="0"/>
    </xf>
    <xf numFmtId="4" fontId="29" fillId="0" borderId="36" xfId="100" applyNumberFormat="1" applyFont="1" applyFill="1" applyBorder="1" applyAlignment="1" applyProtection="1">
      <alignment horizontal="center" vertical="center" wrapText="1"/>
      <protection/>
    </xf>
    <xf numFmtId="4" fontId="29" fillId="0" borderId="50" xfId="100" applyNumberFormat="1" applyFont="1" applyFill="1" applyBorder="1" applyAlignment="1" applyProtection="1">
      <alignment horizontal="center" vertical="center"/>
      <protection/>
    </xf>
    <xf numFmtId="4" fontId="29" fillId="0" borderId="52" xfId="100" applyNumberFormat="1" applyFont="1" applyFill="1" applyBorder="1" applyAlignment="1" applyProtection="1">
      <alignment horizontal="center" vertical="center"/>
      <protection/>
    </xf>
    <xf numFmtId="4" fontId="29" fillId="36" borderId="45" xfId="100" applyNumberFormat="1" applyFont="1" applyFill="1" applyBorder="1" applyAlignment="1" applyProtection="1">
      <alignment horizontal="center" vertical="center" wrapText="1"/>
      <protection locked="0"/>
    </xf>
    <xf numFmtId="4" fontId="29" fillId="0" borderId="30" xfId="100" applyNumberFormat="1" applyFont="1" applyFill="1" applyBorder="1" applyAlignment="1" applyProtection="1">
      <alignment horizontal="center" vertical="center" wrapText="1"/>
      <protection/>
    </xf>
    <xf numFmtId="4" fontId="29" fillId="36" borderId="63" xfId="100" applyNumberFormat="1" applyFont="1" applyFill="1" applyBorder="1" applyAlignment="1" applyProtection="1">
      <alignment horizontal="center" vertical="center" wrapText="1"/>
      <protection locked="0"/>
    </xf>
    <xf numFmtId="4" fontId="29" fillId="36" borderId="63" xfId="100" applyNumberFormat="1" applyFont="1" applyFill="1" applyBorder="1" applyAlignment="1" applyProtection="1">
      <alignment horizontal="center" vertical="center"/>
      <protection locked="0"/>
    </xf>
    <xf numFmtId="4" fontId="30" fillId="36" borderId="31" xfId="100" applyNumberFormat="1" applyFont="1" applyFill="1" applyBorder="1" applyAlignment="1" applyProtection="1">
      <alignment horizontal="center" vertical="center" wrapText="1"/>
      <protection locked="0"/>
    </xf>
    <xf numFmtId="4" fontId="29" fillId="0" borderId="48" xfId="100" applyNumberFormat="1" applyFont="1" applyFill="1" applyBorder="1" applyAlignment="1" applyProtection="1">
      <alignment horizontal="center" vertical="center"/>
      <protection/>
    </xf>
    <xf numFmtId="4" fontId="31" fillId="0" borderId="41" xfId="100" applyNumberFormat="1" applyFont="1" applyFill="1" applyBorder="1" applyAlignment="1" applyProtection="1">
      <alignment horizontal="center" vertical="center"/>
      <protection/>
    </xf>
    <xf numFmtId="4" fontId="31" fillId="46" borderId="41" xfId="100" applyNumberFormat="1" applyFont="1" applyFill="1" applyBorder="1" applyAlignment="1" applyProtection="1">
      <alignment horizontal="center" vertical="center"/>
      <protection/>
    </xf>
    <xf numFmtId="4" fontId="31" fillId="46" borderId="44" xfId="100" applyNumberFormat="1" applyFont="1" applyFill="1" applyBorder="1" applyAlignment="1" applyProtection="1">
      <alignment horizontal="center" vertical="center"/>
      <protection/>
    </xf>
    <xf numFmtId="4" fontId="31" fillId="46" borderId="36" xfId="100" applyNumberFormat="1" applyFont="1" applyFill="1" applyBorder="1" applyAlignment="1" applyProtection="1">
      <alignment horizontal="center" vertical="center"/>
      <protection/>
    </xf>
    <xf numFmtId="4" fontId="29" fillId="46" borderId="35" xfId="100" applyNumberFormat="1" applyFont="1" applyFill="1" applyBorder="1" applyAlignment="1" applyProtection="1">
      <alignment horizontal="center" vertical="center" wrapText="1"/>
      <protection/>
    </xf>
    <xf numFmtId="4" fontId="18" fillId="46" borderId="41" xfId="100" applyNumberFormat="1" applyFont="1" applyFill="1" applyBorder="1" applyAlignment="1" applyProtection="1">
      <alignment horizontal="center" vertical="center"/>
      <protection/>
    </xf>
    <xf numFmtId="4" fontId="18" fillId="46" borderId="44" xfId="100" applyNumberFormat="1" applyFont="1" applyFill="1" applyBorder="1" applyAlignment="1" applyProtection="1">
      <alignment horizontal="center" vertical="center"/>
      <protection/>
    </xf>
    <xf numFmtId="4" fontId="29" fillId="46" borderId="36" xfId="100" applyNumberFormat="1" applyFont="1" applyFill="1" applyBorder="1" applyAlignment="1" applyProtection="1">
      <alignment horizontal="center" vertical="center" wrapText="1"/>
      <protection/>
    </xf>
    <xf numFmtId="4" fontId="18" fillId="46" borderId="36" xfId="100" applyNumberFormat="1" applyFont="1" applyFill="1" applyBorder="1" applyAlignment="1" applyProtection="1">
      <alignment horizontal="center" vertical="center"/>
      <protection/>
    </xf>
    <xf numFmtId="0" fontId="5" fillId="0" borderId="0" xfId="105" applyFont="1" applyBorder="1" applyAlignment="1" applyProtection="1">
      <alignment horizontal="center" wrapText="1"/>
      <protection/>
    </xf>
    <xf numFmtId="0" fontId="0" fillId="0" borderId="0" xfId="121" applyNumberFormat="1" applyFont="1" applyFill="1" applyBorder="1" applyAlignment="1" applyProtection="1">
      <alignment horizontal="center" vertical="center" wrapText="1"/>
      <protection/>
    </xf>
    <xf numFmtId="0" fontId="5" fillId="0" borderId="0" xfId="105" applyFont="1" applyBorder="1" applyAlignment="1" applyProtection="1">
      <alignment wrapText="1"/>
      <protection/>
    </xf>
    <xf numFmtId="0" fontId="5" fillId="0" borderId="0" xfId="105" applyFont="1" applyBorder="1" applyAlignment="1" applyProtection="1">
      <alignment horizontal="right"/>
      <protection/>
    </xf>
    <xf numFmtId="0" fontId="5" fillId="0" borderId="0" xfId="105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4" fontId="10" fillId="47" borderId="24" xfId="127" applyNumberFormat="1" applyFont="1" applyFill="1" applyBorder="1" applyAlignment="1" applyProtection="1">
      <alignment horizontal="center" vertical="center" wrapText="1"/>
      <protection locked="0"/>
    </xf>
    <xf numFmtId="4" fontId="31" fillId="0" borderId="63" xfId="100" applyNumberFormat="1" applyFont="1" applyFill="1" applyBorder="1" applyAlignment="1" applyProtection="1">
      <alignment horizontal="center" vertical="center"/>
      <protection/>
    </xf>
    <xf numFmtId="4" fontId="31" fillId="0" borderId="31" xfId="100" applyNumberFormat="1" applyFont="1" applyFill="1" applyBorder="1" applyAlignment="1" applyProtection="1">
      <alignment horizontal="center" vertical="center"/>
      <protection/>
    </xf>
    <xf numFmtId="4" fontId="29" fillId="0" borderId="64" xfId="100" applyNumberFormat="1" applyFont="1" applyFill="1" applyBorder="1" applyAlignment="1" applyProtection="1">
      <alignment horizontal="center" vertical="center"/>
      <protection/>
    </xf>
    <xf numFmtId="4" fontId="29" fillId="0" borderId="54" xfId="100" applyNumberFormat="1" applyFont="1" applyFill="1" applyBorder="1" applyAlignment="1" applyProtection="1">
      <alignment horizontal="center" vertical="center"/>
      <protection/>
    </xf>
    <xf numFmtId="4" fontId="29" fillId="0" borderId="65" xfId="100" applyNumberFormat="1" applyFont="1" applyFill="1" applyBorder="1" applyAlignment="1" applyProtection="1">
      <alignment horizontal="center" vertical="center"/>
      <protection/>
    </xf>
    <xf numFmtId="4" fontId="29" fillId="0" borderId="27" xfId="100" applyNumberFormat="1" applyFont="1" applyFill="1" applyBorder="1" applyAlignment="1" applyProtection="1">
      <alignment horizontal="center" vertical="center" wrapText="1"/>
      <protection/>
    </xf>
    <xf numFmtId="4" fontId="18" fillId="0" borderId="36" xfId="100" applyNumberFormat="1" applyFont="1" applyFill="1" applyBorder="1" applyAlignment="1" applyProtection="1">
      <alignment horizontal="center" vertical="center"/>
      <protection/>
    </xf>
    <xf numFmtId="4" fontId="18" fillId="0" borderId="44" xfId="100" applyNumberFormat="1" applyFont="1" applyFill="1" applyBorder="1" applyAlignment="1" applyProtection="1">
      <alignment horizontal="center" vertical="center"/>
      <protection/>
    </xf>
    <xf numFmtId="0" fontId="123" fillId="0" borderId="0" xfId="0" applyFont="1" applyFill="1" applyAlignment="1">
      <alignment/>
    </xf>
    <xf numFmtId="4" fontId="29" fillId="44" borderId="9" xfId="100" applyNumberFormat="1" applyFont="1" applyFill="1" applyBorder="1" applyAlignment="1" applyProtection="1">
      <alignment horizontal="center" vertical="center"/>
      <protection/>
    </xf>
    <xf numFmtId="4" fontId="29" fillId="44" borderId="54" xfId="100" applyNumberFormat="1" applyFont="1" applyFill="1" applyBorder="1" applyAlignment="1" applyProtection="1">
      <alignment horizontal="center" vertical="center"/>
      <protection/>
    </xf>
    <xf numFmtId="4" fontId="29" fillId="44" borderId="56" xfId="100" applyNumberFormat="1" applyFont="1" applyFill="1" applyBorder="1" applyAlignment="1" applyProtection="1">
      <alignment horizontal="center" vertical="center"/>
      <protection/>
    </xf>
    <xf numFmtId="4" fontId="29" fillId="44" borderId="23" xfId="100" applyNumberFormat="1" applyFont="1" applyFill="1" applyBorder="1" applyAlignment="1" applyProtection="1">
      <alignment horizontal="center" vertical="center"/>
      <protection/>
    </xf>
    <xf numFmtId="4" fontId="29" fillId="44" borderId="55" xfId="100" applyNumberFormat="1" applyFont="1" applyFill="1" applyBorder="1" applyAlignment="1" applyProtection="1">
      <alignment horizontal="center" vertical="center"/>
      <protection/>
    </xf>
    <xf numFmtId="4" fontId="29" fillId="44" borderId="14" xfId="100" applyNumberFormat="1" applyFont="1" applyFill="1" applyBorder="1" applyAlignment="1" applyProtection="1">
      <alignment horizontal="center" vertical="center"/>
      <protection/>
    </xf>
    <xf numFmtId="4" fontId="29" fillId="44" borderId="40" xfId="100" applyNumberFormat="1" applyFont="1" applyFill="1" applyBorder="1" applyAlignment="1" applyProtection="1">
      <alignment horizontal="center" vertical="center"/>
      <protection/>
    </xf>
    <xf numFmtId="4" fontId="29" fillId="44" borderId="45" xfId="100" applyNumberFormat="1" applyFont="1" applyFill="1" applyBorder="1" applyAlignment="1" applyProtection="1">
      <alignment horizontal="center" vertical="center"/>
      <protection/>
    </xf>
    <xf numFmtId="4" fontId="29" fillId="44" borderId="27" xfId="100" applyNumberFormat="1" applyFont="1" applyFill="1" applyBorder="1" applyAlignment="1" applyProtection="1">
      <alignment horizontal="center" vertical="center"/>
      <protection/>
    </xf>
    <xf numFmtId="4" fontId="29" fillId="44" borderId="46" xfId="100" applyNumberFormat="1" applyFont="1" applyFill="1" applyBorder="1" applyAlignment="1" applyProtection="1">
      <alignment horizontal="center" vertical="center"/>
      <protection/>
    </xf>
    <xf numFmtId="49" fontId="0" fillId="36" borderId="9" xfId="0" applyNumberFormat="1" applyFont="1" applyFill="1" applyBorder="1" applyAlignment="1" applyProtection="1">
      <alignment horizontal="left" vertical="center" wrapText="1" indent="1"/>
      <protection locked="0"/>
    </xf>
    <xf numFmtId="14" fontId="3" fillId="36" borderId="9" xfId="116" applyNumberFormat="1" applyFont="1" applyFill="1" applyBorder="1" applyAlignment="1" applyProtection="1">
      <alignment horizontal="center" vertical="center" wrapText="1"/>
      <protection locked="0"/>
    </xf>
    <xf numFmtId="49" fontId="0" fillId="36" borderId="9" xfId="0" applyNumberFormat="1" applyFont="1" applyFill="1" applyBorder="1" applyAlignment="1" applyProtection="1">
      <alignment vertical="center" wrapText="1"/>
      <protection locked="0"/>
    </xf>
    <xf numFmtId="4" fontId="0" fillId="36" borderId="9" xfId="0" applyNumberFormat="1" applyFont="1" applyFill="1" applyBorder="1" applyAlignment="1" applyProtection="1">
      <alignment horizontal="center" vertical="center"/>
      <protection locked="0"/>
    </xf>
    <xf numFmtId="49" fontId="0" fillId="36" borderId="9" xfId="100" applyNumberFormat="1" applyFont="1" applyFill="1" applyBorder="1" applyAlignment="1" applyProtection="1">
      <alignment horizontal="left" vertical="center" wrapText="1"/>
      <protection locked="0"/>
    </xf>
    <xf numFmtId="0" fontId="41" fillId="0" borderId="17" xfId="105" applyFont="1" applyFill="1" applyBorder="1" applyAlignment="1">
      <alignment horizontal="left" vertical="center"/>
      <protection/>
    </xf>
    <xf numFmtId="0" fontId="41" fillId="0" borderId="0" xfId="100" applyFont="1" applyFill="1" applyBorder="1" applyAlignment="1">
      <alignment horizontal="left" vertical="center"/>
      <protection/>
    </xf>
    <xf numFmtId="0" fontId="41" fillId="0" borderId="0" xfId="105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3" fillId="0" borderId="0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123" fillId="0" borderId="9" xfId="0" applyFont="1" applyBorder="1" applyAlignment="1">
      <alignment horizontal="justify" vertical="center" wrapText="1"/>
    </xf>
    <xf numFmtId="4" fontId="31" fillId="0" borderId="46" xfId="100" applyNumberFormat="1" applyFont="1" applyFill="1" applyBorder="1" applyAlignment="1" applyProtection="1">
      <alignment horizontal="center" vertical="center" wrapText="1"/>
      <protection/>
    </xf>
    <xf numFmtId="4" fontId="29" fillId="0" borderId="66" xfId="100" applyNumberFormat="1" applyFont="1" applyFill="1" applyBorder="1" applyAlignment="1" applyProtection="1">
      <alignment horizontal="center" vertical="center"/>
      <protection/>
    </xf>
    <xf numFmtId="49" fontId="30" fillId="0" borderId="24" xfId="100" applyNumberFormat="1" applyFont="1" applyFill="1" applyBorder="1" applyAlignment="1" applyProtection="1">
      <alignment horizontal="center" vertical="center"/>
      <protection/>
    </xf>
    <xf numFmtId="4" fontId="34" fillId="36" borderId="9" xfId="100" applyNumberFormat="1" applyFont="1" applyFill="1" applyBorder="1" applyAlignment="1" applyProtection="1">
      <alignment horizontal="center" vertical="center" wrapText="1"/>
      <protection locked="0"/>
    </xf>
    <xf numFmtId="4" fontId="3" fillId="38" borderId="9" xfId="0" applyNumberFormat="1" applyFont="1" applyFill="1" applyBorder="1" applyAlignment="1" applyProtection="1">
      <alignment horizontal="center" vertical="center"/>
      <protection/>
    </xf>
    <xf numFmtId="4" fontId="3" fillId="36" borderId="9" xfId="100" applyNumberFormat="1" applyFont="1" applyFill="1" applyBorder="1" applyAlignment="1" applyProtection="1">
      <alignment horizontal="center" vertical="center" wrapText="1"/>
      <protection locked="0"/>
    </xf>
    <xf numFmtId="4" fontId="28" fillId="36" borderId="9" xfId="100" applyNumberFormat="1" applyFont="1" applyFill="1" applyBorder="1" applyAlignment="1" applyProtection="1">
      <alignment horizontal="center" vertical="center" wrapText="1"/>
      <protection locked="0"/>
    </xf>
    <xf numFmtId="3" fontId="28" fillId="36" borderId="9" xfId="100" applyNumberFormat="1" applyFont="1" applyFill="1" applyBorder="1" applyAlignment="1" applyProtection="1">
      <alignment horizontal="center" vertical="center" wrapText="1"/>
      <protection locked="0"/>
    </xf>
    <xf numFmtId="4" fontId="29" fillId="0" borderId="41" xfId="100" applyNumberFormat="1" applyFont="1" applyFill="1" applyBorder="1" applyAlignment="1" applyProtection="1">
      <alignment horizontal="center" vertical="center" wrapText="1"/>
      <protection/>
    </xf>
    <xf numFmtId="4" fontId="31" fillId="0" borderId="67" xfId="100" applyNumberFormat="1" applyFont="1" applyFill="1" applyBorder="1" applyAlignment="1" applyProtection="1">
      <alignment horizontal="center" vertical="center"/>
      <protection/>
    </xf>
    <xf numFmtId="4" fontId="31" fillId="0" borderId="68" xfId="100" applyNumberFormat="1" applyFont="1" applyFill="1" applyBorder="1" applyAlignment="1" applyProtection="1">
      <alignment horizontal="center" vertical="center"/>
      <protection/>
    </xf>
    <xf numFmtId="4" fontId="31" fillId="0" borderId="69" xfId="100" applyNumberFormat="1" applyFont="1" applyFill="1" applyBorder="1" applyAlignment="1" applyProtection="1">
      <alignment horizontal="center" vertical="center" wrapText="1"/>
      <protection/>
    </xf>
    <xf numFmtId="4" fontId="30" fillId="36" borderId="70" xfId="100" applyNumberFormat="1" applyFont="1" applyFill="1" applyBorder="1" applyAlignment="1" applyProtection="1">
      <alignment horizontal="center" vertical="center" wrapText="1"/>
      <protection locked="0"/>
    </xf>
    <xf numFmtId="4" fontId="29" fillId="0" borderId="0" xfId="100" applyNumberFormat="1" applyFont="1" applyFill="1" applyBorder="1" applyAlignment="1" applyProtection="1">
      <alignment horizontal="center" vertical="center"/>
      <protection/>
    </xf>
    <xf numFmtId="0" fontId="3" fillId="0" borderId="0" xfId="100" applyFont="1" applyFill="1" applyAlignment="1" applyProtection="1">
      <alignment vertical="center"/>
      <protection/>
    </xf>
    <xf numFmtId="0" fontId="33" fillId="0" borderId="0" xfId="100" applyFont="1" applyFill="1" applyAlignment="1" applyProtection="1">
      <alignment vertical="center"/>
      <protection/>
    </xf>
    <xf numFmtId="0" fontId="34" fillId="0" borderId="0" xfId="100" applyFont="1" applyFill="1" applyBorder="1" applyAlignment="1" applyProtection="1">
      <alignment horizontal="left" vertical="center"/>
      <protection/>
    </xf>
    <xf numFmtId="0" fontId="33" fillId="0" borderId="0" xfId="100" applyFont="1" applyFill="1" applyBorder="1" applyAlignment="1" applyProtection="1">
      <alignment horizontal="center" vertical="center" wrapText="1"/>
      <protection/>
    </xf>
    <xf numFmtId="0" fontId="33" fillId="0" borderId="0" xfId="100" applyFont="1" applyFill="1" applyAlignment="1" applyProtection="1">
      <alignment horizontal="center" vertical="center" wrapText="1"/>
      <protection/>
    </xf>
    <xf numFmtId="0" fontId="34" fillId="0" borderId="17" xfId="105" applyFont="1" applyFill="1" applyBorder="1" applyAlignment="1" applyProtection="1">
      <alignment horizontal="left" vertical="center"/>
      <protection/>
    </xf>
    <xf numFmtId="0" fontId="33" fillId="0" borderId="17" xfId="100" applyFont="1" applyFill="1" applyBorder="1" applyAlignment="1" applyProtection="1">
      <alignment horizontal="center" vertical="center" wrapText="1"/>
      <protection/>
    </xf>
    <xf numFmtId="0" fontId="3" fillId="40" borderId="14" xfId="117" applyFont="1" applyFill="1" applyBorder="1" applyAlignment="1" applyProtection="1">
      <alignment vertical="center" wrapText="1"/>
      <protection/>
    </xf>
    <xf numFmtId="0" fontId="3" fillId="40" borderId="40" xfId="117" applyFont="1" applyFill="1" applyBorder="1" applyAlignment="1" applyProtection="1">
      <alignment vertical="center" wrapText="1"/>
      <protection/>
    </xf>
    <xf numFmtId="0" fontId="3" fillId="40" borderId="24" xfId="117" applyFont="1" applyFill="1" applyBorder="1" applyAlignment="1" applyProtection="1">
      <alignment vertical="center" wrapText="1"/>
      <protection/>
    </xf>
    <xf numFmtId="0" fontId="3" fillId="36" borderId="19" xfId="115" applyFont="1" applyFill="1" applyBorder="1" applyAlignment="1" applyProtection="1">
      <alignment horizontal="center" vertical="center" wrapText="1"/>
      <protection locked="0"/>
    </xf>
    <xf numFmtId="49" fontId="34" fillId="36" borderId="19" xfId="118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115" applyFont="1" applyFill="1" applyBorder="1" applyAlignment="1" applyProtection="1">
      <alignment horizontal="center" vertical="center"/>
      <protection/>
    </xf>
    <xf numFmtId="49" fontId="12" fillId="0" borderId="0" xfId="115" applyNumberFormat="1" applyFont="1" applyFill="1" applyBorder="1" applyAlignment="1" applyProtection="1">
      <alignment horizontal="center" vertical="center" wrapText="1"/>
      <protection/>
    </xf>
    <xf numFmtId="49" fontId="12" fillId="0" borderId="9" xfId="115" applyNumberFormat="1" applyFont="1" applyFill="1" applyBorder="1" applyAlignment="1" applyProtection="1">
      <alignment horizontal="center" vertical="center" wrapText="1"/>
      <protection/>
    </xf>
    <xf numFmtId="4" fontId="29" fillId="40" borderId="25" xfId="117" applyNumberFormat="1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 applyProtection="1">
      <alignment horizontal="center" vertical="center"/>
      <protection/>
    </xf>
    <xf numFmtId="0" fontId="31" fillId="0" borderId="9" xfId="0" applyFont="1" applyFill="1" applyBorder="1" applyAlignment="1" applyProtection="1">
      <alignment horizontal="left" vertical="center" wrapText="1"/>
      <protection/>
    </xf>
    <xf numFmtId="49" fontId="29" fillId="36" borderId="9" xfId="100" applyNumberFormat="1" applyFont="1" applyFill="1" applyBorder="1" applyAlignment="1" applyProtection="1">
      <alignment horizontal="left" vertical="center" wrapText="1" indent="1"/>
      <protection locked="0"/>
    </xf>
    <xf numFmtId="4" fontId="29" fillId="36" borderId="9" xfId="100" applyNumberFormat="1" applyFont="1" applyFill="1" applyBorder="1" applyAlignment="1" applyProtection="1">
      <alignment horizontal="center" vertical="center"/>
      <protection locked="0"/>
    </xf>
    <xf numFmtId="4" fontId="30" fillId="36" borderId="9" xfId="100" applyNumberFormat="1" applyFont="1" applyFill="1" applyBorder="1" applyAlignment="1" applyProtection="1">
      <alignment horizontal="center" vertical="center"/>
      <protection locked="0"/>
    </xf>
    <xf numFmtId="4" fontId="31" fillId="36" borderId="9" xfId="100" applyNumberFormat="1" applyFont="1" applyFill="1" applyBorder="1" applyAlignment="1" applyProtection="1">
      <alignment horizontal="center" vertical="center"/>
      <protection locked="0"/>
    </xf>
    <xf numFmtId="49" fontId="31" fillId="44" borderId="71" xfId="100" applyNumberFormat="1" applyFont="1" applyFill="1" applyBorder="1" applyAlignment="1" applyProtection="1">
      <alignment horizontal="center" vertical="center"/>
      <protection/>
    </xf>
    <xf numFmtId="49" fontId="29" fillId="0" borderId="24" xfId="100" applyNumberFormat="1" applyFont="1" applyFill="1" applyBorder="1" applyAlignment="1" applyProtection="1">
      <alignment horizontal="center" vertical="center"/>
      <protection/>
    </xf>
    <xf numFmtId="49" fontId="29" fillId="48" borderId="24" xfId="100" applyNumberFormat="1" applyFont="1" applyFill="1" applyBorder="1" applyAlignment="1" applyProtection="1">
      <alignment horizontal="center" vertical="center"/>
      <protection/>
    </xf>
    <xf numFmtId="49" fontId="29" fillId="48" borderId="37" xfId="100" applyNumberFormat="1" applyFont="1" applyFill="1" applyBorder="1" applyAlignment="1" applyProtection="1">
      <alignment horizontal="center" vertical="center"/>
      <protection/>
    </xf>
    <xf numFmtId="49" fontId="29" fillId="48" borderId="72" xfId="100" applyNumberFormat="1" applyFont="1" applyFill="1" applyBorder="1" applyAlignment="1" applyProtection="1">
      <alignment horizontal="center" vertical="center"/>
      <protection/>
    </xf>
    <xf numFmtId="0" fontId="29" fillId="48" borderId="38" xfId="98" applyFont="1" applyFill="1" applyBorder="1" applyAlignment="1" applyProtection="1">
      <alignment wrapText="1"/>
      <protection/>
    </xf>
    <xf numFmtId="49" fontId="0" fillId="36" borderId="9" xfId="10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100" applyFont="1" applyAlignment="1" applyProtection="1">
      <alignment vertical="center"/>
      <protection/>
    </xf>
    <xf numFmtId="0" fontId="29" fillId="0" borderId="0" xfId="100" applyFont="1" applyAlignment="1" applyProtection="1">
      <alignment horizontal="left" vertical="center"/>
      <protection/>
    </xf>
    <xf numFmtId="0" fontId="29" fillId="0" borderId="0" xfId="100" applyFont="1" applyAlignment="1" applyProtection="1">
      <alignment vertical="center"/>
      <protection/>
    </xf>
    <xf numFmtId="0" fontId="29" fillId="0" borderId="0" xfId="100" applyFont="1" applyAlignment="1" applyProtection="1">
      <alignment horizontal="center" vertical="center"/>
      <protection/>
    </xf>
    <xf numFmtId="4" fontId="29" fillId="0" borderId="0" xfId="100" applyNumberFormat="1" applyFont="1" applyAlignment="1" applyProtection="1">
      <alignment vertical="center"/>
      <protection/>
    </xf>
    <xf numFmtId="2" fontId="29" fillId="0" borderId="0" xfId="100" applyNumberFormat="1" applyFont="1" applyAlignment="1" applyProtection="1">
      <alignment vertical="center"/>
      <protection/>
    </xf>
    <xf numFmtId="0" fontId="123" fillId="0" borderId="0" xfId="0" applyFont="1" applyAlignment="1" applyProtection="1">
      <alignment/>
      <protection/>
    </xf>
    <xf numFmtId="0" fontId="29" fillId="0" borderId="0" xfId="100" applyFont="1" applyBorder="1" applyAlignment="1" applyProtection="1">
      <alignment vertical="center"/>
      <protection/>
    </xf>
    <xf numFmtId="4" fontId="29" fillId="0" borderId="0" xfId="100" applyNumberFormat="1" applyFont="1" applyBorder="1" applyAlignment="1" applyProtection="1">
      <alignment vertical="center"/>
      <protection/>
    </xf>
    <xf numFmtId="0" fontId="29" fillId="0" borderId="0" xfId="100" applyFont="1" applyAlignment="1" applyProtection="1">
      <alignment horizontal="right" vertical="center"/>
      <protection/>
    </xf>
    <xf numFmtId="4" fontId="29" fillId="0" borderId="0" xfId="100" applyNumberFormat="1" applyFont="1" applyBorder="1" applyAlignment="1" applyProtection="1">
      <alignment horizontal="right" vertical="center"/>
      <protection/>
    </xf>
    <xf numFmtId="0" fontId="64" fillId="0" borderId="0" xfId="100" applyFont="1" applyAlignment="1" applyProtection="1">
      <alignment vertical="center"/>
      <protection/>
    </xf>
    <xf numFmtId="0" fontId="29" fillId="0" borderId="0" xfId="100" applyFont="1" applyBorder="1" applyAlignment="1" applyProtection="1">
      <alignment horizontal="left" vertical="center"/>
      <protection/>
    </xf>
    <xf numFmtId="0" fontId="29" fillId="0" borderId="0" xfId="100" applyFont="1" applyBorder="1" applyAlignment="1" applyProtection="1">
      <alignment horizontal="center" vertical="center"/>
      <protection/>
    </xf>
    <xf numFmtId="0" fontId="31" fillId="0" borderId="16" xfId="100" applyFont="1" applyFill="1" applyBorder="1" applyAlignment="1" applyProtection="1">
      <alignment horizontal="left" vertical="center"/>
      <protection/>
    </xf>
    <xf numFmtId="0" fontId="29" fillId="0" borderId="16" xfId="100" applyFont="1" applyFill="1" applyBorder="1" applyAlignment="1" applyProtection="1">
      <alignment horizontal="left" vertical="center"/>
      <protection/>
    </xf>
    <xf numFmtId="0" fontId="31" fillId="0" borderId="0" xfId="100" applyFont="1" applyAlignment="1" applyProtection="1">
      <alignment horizontal="left" vertical="center"/>
      <protection/>
    </xf>
    <xf numFmtId="4" fontId="31" fillId="0" borderId="0" xfId="100" applyNumberFormat="1" applyFont="1" applyAlignment="1" applyProtection="1">
      <alignment horizontal="left" vertical="center"/>
      <protection/>
    </xf>
    <xf numFmtId="0" fontId="68" fillId="0" borderId="0" xfId="100" applyFont="1" applyFill="1" applyBorder="1" applyAlignment="1" applyProtection="1">
      <alignment horizontal="left" vertical="center"/>
      <protection/>
    </xf>
    <xf numFmtId="0" fontId="66" fillId="0" borderId="0" xfId="100" applyFont="1" applyFill="1" applyBorder="1" applyAlignment="1" applyProtection="1">
      <alignment horizontal="left" vertical="center"/>
      <protection/>
    </xf>
    <xf numFmtId="0" fontId="66" fillId="0" borderId="0" xfId="100" applyFont="1" applyAlignment="1" applyProtection="1">
      <alignment horizontal="left" vertical="center"/>
      <protection/>
    </xf>
    <xf numFmtId="4" fontId="66" fillId="0" borderId="0" xfId="100" applyNumberFormat="1" applyFont="1" applyAlignment="1" applyProtection="1">
      <alignment horizontal="left" vertical="center"/>
      <protection/>
    </xf>
    <xf numFmtId="0" fontId="29" fillId="0" borderId="17" xfId="100" applyFont="1" applyFill="1" applyBorder="1" applyAlignment="1" applyProtection="1">
      <alignment horizontal="center" vertical="center" wrapText="1"/>
      <protection/>
    </xf>
    <xf numFmtId="0" fontId="32" fillId="0" borderId="17" xfId="100" applyFont="1" applyFill="1" applyBorder="1" applyAlignment="1" applyProtection="1">
      <alignment horizontal="center" vertical="center"/>
      <protection/>
    </xf>
    <xf numFmtId="0" fontId="29" fillId="0" borderId="0" xfId="100" applyFont="1" applyBorder="1" applyAlignment="1" applyProtection="1">
      <alignment horizontal="center" vertical="center" wrapText="1"/>
      <protection/>
    </xf>
    <xf numFmtId="4" fontId="29" fillId="0" borderId="0" xfId="100" applyNumberFormat="1" applyFont="1" applyBorder="1" applyAlignment="1" applyProtection="1">
      <alignment horizontal="center" vertical="center" wrapText="1"/>
      <protection/>
    </xf>
    <xf numFmtId="0" fontId="66" fillId="0" borderId="0" xfId="100" applyFont="1" applyBorder="1" applyAlignment="1" applyProtection="1">
      <alignment horizontal="center" vertical="center" wrapText="1"/>
      <protection/>
    </xf>
    <xf numFmtId="4" fontId="66" fillId="0" borderId="0" xfId="100" applyNumberFormat="1" applyFont="1" applyBorder="1" applyAlignment="1" applyProtection="1">
      <alignment horizontal="center" vertical="center" wrapText="1"/>
      <protection/>
    </xf>
    <xf numFmtId="0" fontId="67" fillId="0" borderId="0" xfId="98" applyFont="1" applyBorder="1" applyAlignment="1" applyProtection="1">
      <alignment horizontal="center" vertical="center"/>
      <protection/>
    </xf>
    <xf numFmtId="0" fontId="31" fillId="0" borderId="73" xfId="118" applyFont="1" applyBorder="1" applyAlignment="1" applyProtection="1">
      <alignment horizontal="center" vertical="center" wrapText="1"/>
      <protection/>
    </xf>
    <xf numFmtId="0" fontId="31" fillId="0" borderId="48" xfId="118" applyFont="1" applyBorder="1" applyAlignment="1" applyProtection="1">
      <alignment horizontal="center" vertical="center" wrapText="1"/>
      <protection/>
    </xf>
    <xf numFmtId="1" fontId="31" fillId="0" borderId="74" xfId="100" applyNumberFormat="1" applyFont="1" applyFill="1" applyBorder="1" applyAlignment="1" applyProtection="1">
      <alignment horizontal="center" vertical="center"/>
      <protection/>
    </xf>
    <xf numFmtId="1" fontId="31" fillId="0" borderId="61" xfId="100" applyNumberFormat="1" applyFont="1" applyFill="1" applyBorder="1" applyAlignment="1" applyProtection="1">
      <alignment horizontal="center" vertical="center"/>
      <protection/>
    </xf>
    <xf numFmtId="0" fontId="31" fillId="0" borderId="37" xfId="100" applyFont="1" applyFill="1" applyBorder="1" applyAlignment="1" applyProtection="1">
      <alignment horizontal="center" vertical="center" wrapText="1"/>
      <protection/>
    </xf>
    <xf numFmtId="0" fontId="31" fillId="0" borderId="75" xfId="100" applyFont="1" applyFill="1" applyBorder="1" applyAlignment="1" applyProtection="1">
      <alignment horizontal="left" vertical="center" wrapText="1"/>
      <protection/>
    </xf>
    <xf numFmtId="0" fontId="29" fillId="0" borderId="76" xfId="100" applyFont="1" applyFill="1" applyBorder="1" applyAlignment="1" applyProtection="1">
      <alignment horizontal="center" vertical="center"/>
      <protection/>
    </xf>
    <xf numFmtId="49" fontId="29" fillId="0" borderId="24" xfId="100" applyNumberFormat="1" applyFont="1" applyBorder="1" applyAlignment="1" applyProtection="1">
      <alignment horizontal="center" vertical="center" wrapText="1"/>
      <protection/>
    </xf>
    <xf numFmtId="0" fontId="30" fillId="0" borderId="77" xfId="100" applyFont="1" applyFill="1" applyBorder="1" applyAlignment="1" applyProtection="1">
      <alignment horizontal="center" vertical="center"/>
      <protection/>
    </xf>
    <xf numFmtId="49" fontId="29" fillId="0" borderId="24" xfId="100" applyNumberFormat="1" applyFont="1" applyBorder="1" applyAlignment="1" applyProtection="1">
      <alignment horizontal="center" vertical="center"/>
      <protection/>
    </xf>
    <xf numFmtId="49" fontId="29" fillId="0" borderId="24" xfId="100" applyNumberFormat="1" applyFont="1" applyFill="1" applyBorder="1" applyAlignment="1" applyProtection="1">
      <alignment horizontal="center" vertical="center" wrapText="1"/>
      <protection/>
    </xf>
    <xf numFmtId="0" fontId="29" fillId="0" borderId="58" xfId="100" applyFont="1" applyFill="1" applyBorder="1" applyAlignment="1" applyProtection="1">
      <alignment horizontal="left" vertical="center" wrapText="1" indent="1"/>
      <protection/>
    </xf>
    <xf numFmtId="49" fontId="29" fillId="0" borderId="78" xfId="100" applyNumberFormat="1" applyFont="1" applyFill="1" applyBorder="1" applyAlignment="1" applyProtection="1">
      <alignment horizontal="center" vertical="center"/>
      <protection/>
    </xf>
    <xf numFmtId="0" fontId="30" fillId="0" borderId="79" xfId="100" applyFont="1" applyFill="1" applyBorder="1" applyAlignment="1" applyProtection="1">
      <alignment horizontal="center" vertical="center"/>
      <protection/>
    </xf>
    <xf numFmtId="0" fontId="63" fillId="0" borderId="0" xfId="100" applyFont="1" applyFill="1" applyAlignment="1" applyProtection="1">
      <alignment vertical="center"/>
      <protection/>
    </xf>
    <xf numFmtId="49" fontId="31" fillId="0" borderId="73" xfId="100" applyNumberFormat="1" applyFont="1" applyFill="1" applyBorder="1" applyAlignment="1" applyProtection="1">
      <alignment horizontal="center" vertical="center"/>
      <protection/>
    </xf>
    <xf numFmtId="0" fontId="62" fillId="0" borderId="48" xfId="100" applyFont="1" applyFill="1" applyBorder="1" applyAlignment="1" applyProtection="1">
      <alignment horizontal="left" vertical="center" wrapText="1" indent="1"/>
      <protection/>
    </xf>
    <xf numFmtId="49" fontId="29" fillId="0" borderId="80" xfId="100" applyNumberFormat="1" applyFont="1" applyFill="1" applyBorder="1" applyAlignment="1" applyProtection="1">
      <alignment horizontal="center" vertical="center" wrapText="1"/>
      <protection/>
    </xf>
    <xf numFmtId="0" fontId="29" fillId="0" borderId="81" xfId="100" applyFont="1" applyFill="1" applyBorder="1" applyAlignment="1" applyProtection="1">
      <alignment horizontal="left" vertical="center" wrapText="1" indent="2"/>
      <protection/>
    </xf>
    <xf numFmtId="0" fontId="30" fillId="0" borderId="82" xfId="100" applyFont="1" applyFill="1" applyBorder="1" applyAlignment="1" applyProtection="1">
      <alignment horizontal="center" vertical="center"/>
      <protection/>
    </xf>
    <xf numFmtId="0" fontId="29" fillId="0" borderId="58" xfId="100" applyFont="1" applyFill="1" applyBorder="1" applyAlignment="1" applyProtection="1">
      <alignment horizontal="left" vertical="center" wrapText="1" indent="2"/>
      <protection/>
    </xf>
    <xf numFmtId="49" fontId="29" fillId="0" borderId="78" xfId="100" applyNumberFormat="1" applyFont="1" applyFill="1" applyBorder="1" applyAlignment="1" applyProtection="1">
      <alignment horizontal="center" vertical="center" wrapText="1"/>
      <protection/>
    </xf>
    <xf numFmtId="0" fontId="29" fillId="0" borderId="83" xfId="100" applyFont="1" applyFill="1" applyBorder="1" applyAlignment="1" applyProtection="1">
      <alignment horizontal="left" vertical="center" wrapText="1" indent="2"/>
      <protection/>
    </xf>
    <xf numFmtId="0" fontId="29" fillId="0" borderId="37" xfId="100" applyFont="1" applyFill="1" applyBorder="1" applyAlignment="1" applyProtection="1">
      <alignment horizontal="center" vertical="center"/>
      <protection/>
    </xf>
    <xf numFmtId="4" fontId="125" fillId="0" borderId="38" xfId="100" applyNumberFormat="1" applyFont="1" applyFill="1" applyBorder="1" applyAlignment="1" applyProtection="1">
      <alignment horizontal="center" vertical="center" wrapText="1"/>
      <protection/>
    </xf>
    <xf numFmtId="4" fontId="29" fillId="41" borderId="18" xfId="100" applyNumberFormat="1" applyFont="1" applyFill="1" applyBorder="1" applyAlignment="1" applyProtection="1">
      <alignment horizontal="center" vertical="center" wrapText="1"/>
      <protection/>
    </xf>
    <xf numFmtId="4" fontId="29" fillId="41" borderId="51" xfId="100" applyNumberFormat="1" applyFont="1" applyFill="1" applyBorder="1" applyAlignment="1" applyProtection="1">
      <alignment horizontal="center" vertical="center" wrapText="1"/>
      <protection/>
    </xf>
    <xf numFmtId="4" fontId="29" fillId="41" borderId="53" xfId="100" applyNumberFormat="1" applyFont="1" applyFill="1" applyBorder="1" applyAlignment="1" applyProtection="1">
      <alignment horizontal="center" vertical="center" wrapText="1"/>
      <protection/>
    </xf>
    <xf numFmtId="4" fontId="125" fillId="0" borderId="56" xfId="100" applyNumberFormat="1" applyFont="1" applyFill="1" applyBorder="1" applyAlignment="1" applyProtection="1">
      <alignment horizontal="center" vertical="center" wrapText="1"/>
      <protection/>
    </xf>
    <xf numFmtId="4" fontId="125" fillId="0" borderId="84" xfId="100" applyNumberFormat="1" applyFont="1" applyFill="1" applyBorder="1" applyAlignment="1" applyProtection="1">
      <alignment horizontal="center" vertical="center" wrapText="1"/>
      <protection/>
    </xf>
    <xf numFmtId="49" fontId="29" fillId="0" borderId="78" xfId="113" applyNumberFormat="1" applyFont="1" applyFill="1" applyBorder="1" applyAlignment="1" applyProtection="1">
      <alignment horizontal="center" vertical="center" wrapText="1"/>
      <protection/>
    </xf>
    <xf numFmtId="4" fontId="29" fillId="0" borderId="59" xfId="100" applyNumberFormat="1" applyFont="1" applyFill="1" applyBorder="1" applyAlignment="1" applyProtection="1">
      <alignment horizontal="center" vertical="center"/>
      <protection/>
    </xf>
    <xf numFmtId="0" fontId="31" fillId="0" borderId="48" xfId="100" applyFont="1" applyFill="1" applyBorder="1" applyAlignment="1" applyProtection="1">
      <alignment horizontal="left" vertical="center" wrapText="1" indent="1"/>
      <protection/>
    </xf>
    <xf numFmtId="49" fontId="31" fillId="0" borderId="73" xfId="113" applyNumberFormat="1" applyFont="1" applyFill="1" applyBorder="1" applyAlignment="1" applyProtection="1">
      <alignment horizontal="center" vertical="center" wrapText="1"/>
      <protection/>
    </xf>
    <xf numFmtId="49" fontId="29" fillId="0" borderId="80" xfId="100" applyNumberFormat="1" applyFont="1" applyFill="1" applyBorder="1" applyAlignment="1" applyProtection="1">
      <alignment horizontal="center" vertical="center"/>
      <protection/>
    </xf>
    <xf numFmtId="0" fontId="29" fillId="0" borderId="81" xfId="100" applyNumberFormat="1" applyFont="1" applyFill="1" applyBorder="1" applyAlignment="1" applyProtection="1">
      <alignment horizontal="left" vertical="center" wrapText="1" indent="2"/>
      <protection/>
    </xf>
    <xf numFmtId="0" fontId="29" fillId="0" borderId="80" xfId="100" applyFont="1" applyFill="1" applyBorder="1" applyAlignment="1" applyProtection="1">
      <alignment horizontal="center" vertical="center"/>
      <protection/>
    </xf>
    <xf numFmtId="0" fontId="63" fillId="0" borderId="0" xfId="100" applyFont="1" applyAlignment="1" applyProtection="1">
      <alignment horizontal="center" vertical="center"/>
      <protection/>
    </xf>
    <xf numFmtId="0" fontId="29" fillId="0" borderId="24" xfId="100" applyFont="1" applyFill="1" applyBorder="1" applyAlignment="1" applyProtection="1">
      <alignment horizontal="center" vertical="center"/>
      <protection/>
    </xf>
    <xf numFmtId="49" fontId="30" fillId="0" borderId="85" xfId="100" applyNumberFormat="1" applyFont="1" applyFill="1" applyBorder="1" applyAlignment="1" applyProtection="1">
      <alignment horizontal="center" vertical="center"/>
      <protection/>
    </xf>
    <xf numFmtId="0" fontId="29" fillId="0" borderId="0" xfId="100" applyFont="1" applyFill="1" applyBorder="1" applyAlignment="1" applyProtection="1">
      <alignment horizontal="left" vertical="center" wrapText="1" indent="2"/>
      <protection/>
    </xf>
    <xf numFmtId="0" fontId="31" fillId="0" borderId="73" xfId="100" applyFont="1" applyFill="1" applyBorder="1" applyAlignment="1" applyProtection="1">
      <alignment horizontal="center" vertical="center"/>
      <protection/>
    </xf>
    <xf numFmtId="49" fontId="41" fillId="0" borderId="80" xfId="100" applyNumberFormat="1" applyFont="1" applyFill="1" applyBorder="1" applyAlignment="1" applyProtection="1">
      <alignment horizontal="center" vertical="center"/>
      <protection/>
    </xf>
    <xf numFmtId="0" fontId="41" fillId="0" borderId="81" xfId="100" applyFont="1" applyFill="1" applyBorder="1" applyAlignment="1" applyProtection="1">
      <alignment horizontal="left" vertical="center" wrapText="1" indent="2"/>
      <protection/>
    </xf>
    <xf numFmtId="0" fontId="41" fillId="0" borderId="80" xfId="100" applyFont="1" applyFill="1" applyBorder="1" applyAlignment="1" applyProtection="1">
      <alignment horizontal="center" vertical="center"/>
      <protection/>
    </xf>
    <xf numFmtId="0" fontId="29" fillId="0" borderId="58" xfId="100" applyFont="1" applyFill="1" applyBorder="1" applyAlignment="1" applyProtection="1">
      <alignment horizontal="left" vertical="center" wrapText="1" indent="3"/>
      <protection/>
    </xf>
    <xf numFmtId="0" fontId="29" fillId="0" borderId="78" xfId="100" applyFont="1" applyFill="1" applyBorder="1" applyAlignment="1" applyProtection="1">
      <alignment horizontal="center" vertical="center"/>
      <protection/>
    </xf>
    <xf numFmtId="0" fontId="29" fillId="0" borderId="73" xfId="100" applyFont="1" applyFill="1" applyBorder="1" applyAlignment="1" applyProtection="1">
      <alignment horizontal="center" vertical="center"/>
      <protection/>
    </xf>
    <xf numFmtId="4" fontId="31" fillId="41" borderId="35" xfId="100" applyNumberFormat="1" applyFont="1" applyFill="1" applyBorder="1" applyAlignment="1" applyProtection="1">
      <alignment horizontal="center" vertical="center" wrapText="1"/>
      <protection/>
    </xf>
    <xf numFmtId="4" fontId="29" fillId="41" borderId="9" xfId="100" applyNumberFormat="1" applyFont="1" applyFill="1" applyBorder="1" applyAlignment="1" applyProtection="1">
      <alignment horizontal="center" vertical="center" wrapText="1"/>
      <protection/>
    </xf>
    <xf numFmtId="4" fontId="29" fillId="0" borderId="86" xfId="100" applyNumberFormat="1" applyFont="1" applyFill="1" applyBorder="1" applyAlignment="1" applyProtection="1">
      <alignment horizontal="center" vertical="center"/>
      <protection/>
    </xf>
    <xf numFmtId="49" fontId="29" fillId="45" borderId="80" xfId="100" applyNumberFormat="1" applyFont="1" applyFill="1" applyBorder="1" applyAlignment="1" applyProtection="1">
      <alignment horizontal="center" vertical="center"/>
      <protection/>
    </xf>
    <xf numFmtId="0" fontId="29" fillId="45" borderId="81" xfId="100" applyFont="1" applyFill="1" applyBorder="1" applyAlignment="1" applyProtection="1">
      <alignment horizontal="left" vertical="center" wrapText="1" indent="2"/>
      <protection/>
    </xf>
    <xf numFmtId="49" fontId="29" fillId="45" borderId="24" xfId="100" applyNumberFormat="1" applyFont="1" applyFill="1" applyBorder="1" applyAlignment="1" applyProtection="1">
      <alignment horizontal="center" vertical="center"/>
      <protection/>
    </xf>
    <xf numFmtId="0" fontId="29" fillId="45" borderId="58" xfId="100" applyFont="1" applyFill="1" applyBorder="1" applyAlignment="1" applyProtection="1">
      <alignment horizontal="left" vertical="center" wrapText="1" indent="2"/>
      <protection/>
    </xf>
    <xf numFmtId="49" fontId="29" fillId="45" borderId="78" xfId="100" applyNumberFormat="1" applyFont="1" applyFill="1" applyBorder="1" applyAlignment="1" applyProtection="1">
      <alignment horizontal="center" vertical="center"/>
      <protection/>
    </xf>
    <xf numFmtId="0" fontId="29" fillId="45" borderId="83" xfId="100" applyFont="1" applyFill="1" applyBorder="1" applyAlignment="1" applyProtection="1">
      <alignment horizontal="left" vertical="center" wrapText="1" indent="2"/>
      <protection/>
    </xf>
    <xf numFmtId="4" fontId="29" fillId="0" borderId="87" xfId="100" applyNumberFormat="1" applyFont="1" applyFill="1" applyBorder="1" applyAlignment="1" applyProtection="1">
      <alignment horizontal="center" vertical="center"/>
      <protection/>
    </xf>
    <xf numFmtId="0" fontId="72" fillId="0" borderId="0" xfId="100" applyFont="1" applyFill="1" applyAlignment="1" applyProtection="1">
      <alignment horizontal="center" vertical="center"/>
      <protection/>
    </xf>
    <xf numFmtId="49" fontId="64" fillId="0" borderId="80" xfId="100" applyNumberFormat="1" applyFont="1" applyFill="1" applyBorder="1" applyAlignment="1" applyProtection="1">
      <alignment horizontal="center" vertical="center"/>
      <protection/>
    </xf>
    <xf numFmtId="0" fontId="73" fillId="0" borderId="81" xfId="100" applyFont="1" applyFill="1" applyBorder="1" applyAlignment="1" applyProtection="1">
      <alignment horizontal="center" vertical="center" wrapText="1"/>
      <protection/>
    </xf>
    <xf numFmtId="0" fontId="64" fillId="0" borderId="80" xfId="100" applyFont="1" applyFill="1" applyBorder="1" applyAlignment="1" applyProtection="1">
      <alignment horizontal="center" vertical="center" wrapText="1"/>
      <protection/>
    </xf>
    <xf numFmtId="4" fontId="64" fillId="0" borderId="38" xfId="100" applyNumberFormat="1" applyFont="1" applyFill="1" applyBorder="1" applyAlignment="1" applyProtection="1">
      <alignment horizontal="center" vertical="center" wrapText="1"/>
      <protection/>
    </xf>
    <xf numFmtId="4" fontId="64" fillId="0" borderId="57" xfId="100" applyNumberFormat="1" applyFont="1" applyFill="1" applyBorder="1" applyAlignment="1" applyProtection="1">
      <alignment horizontal="center" vertical="center" wrapText="1"/>
      <protection/>
    </xf>
    <xf numFmtId="4" fontId="64" fillId="0" borderId="51" xfId="100" applyNumberFormat="1" applyFont="1" applyFill="1" applyBorder="1" applyAlignment="1" applyProtection="1">
      <alignment horizontal="center" vertical="center" wrapText="1"/>
      <protection/>
    </xf>
    <xf numFmtId="4" fontId="64" fillId="0" borderId="18" xfId="100" applyNumberFormat="1" applyFont="1" applyFill="1" applyBorder="1" applyAlignment="1" applyProtection="1">
      <alignment horizontal="center" vertical="center" wrapText="1"/>
      <protection/>
    </xf>
    <xf numFmtId="4" fontId="64" fillId="41" borderId="53" xfId="100" applyNumberFormat="1" applyFont="1" applyFill="1" applyBorder="1" applyAlignment="1" applyProtection="1">
      <alignment horizontal="center" vertical="center" wrapText="1"/>
      <protection/>
    </xf>
    <xf numFmtId="0" fontId="126" fillId="0" borderId="0" xfId="0" applyFont="1" applyAlignment="1" applyProtection="1">
      <alignment horizontal="center"/>
      <protection/>
    </xf>
    <xf numFmtId="4" fontId="30" fillId="49" borderId="25" xfId="100" applyNumberFormat="1" applyFont="1" applyFill="1" applyBorder="1" applyAlignment="1" applyProtection="1">
      <alignment horizontal="center" vertical="center"/>
      <protection/>
    </xf>
    <xf numFmtId="4" fontId="29" fillId="49" borderId="54" xfId="100" applyNumberFormat="1" applyFont="1" applyFill="1" applyBorder="1" applyAlignment="1" applyProtection="1">
      <alignment horizontal="center" vertical="center"/>
      <protection/>
    </xf>
    <xf numFmtId="4" fontId="30" fillId="49" borderId="14" xfId="100" applyNumberFormat="1" applyFont="1" applyFill="1" applyBorder="1" applyAlignment="1" applyProtection="1">
      <alignment horizontal="center" vertical="center"/>
      <protection/>
    </xf>
    <xf numFmtId="4" fontId="29" fillId="49" borderId="9" xfId="100" applyNumberFormat="1" applyFont="1" applyFill="1" applyBorder="1" applyAlignment="1" applyProtection="1">
      <alignment horizontal="center" vertical="center" wrapText="1"/>
      <protection/>
    </xf>
    <xf numFmtId="4" fontId="30" fillId="49" borderId="40" xfId="100" applyNumberFormat="1" applyFont="1" applyFill="1" applyBorder="1" applyAlignment="1" applyProtection="1">
      <alignment horizontal="center" vertical="center"/>
      <protection/>
    </xf>
    <xf numFmtId="0" fontId="29" fillId="0" borderId="58" xfId="100" applyFont="1" applyFill="1" applyBorder="1" applyAlignment="1" applyProtection="1">
      <alignment horizontal="left" vertical="center" wrapText="1" indent="4"/>
      <protection/>
    </xf>
    <xf numFmtId="0" fontId="30" fillId="0" borderId="24" xfId="100" applyFont="1" applyFill="1" applyBorder="1" applyAlignment="1" applyProtection="1">
      <alignment horizontal="center" vertical="center"/>
      <protection/>
    </xf>
    <xf numFmtId="0" fontId="29" fillId="0" borderId="58" xfId="100" applyNumberFormat="1" applyFont="1" applyFill="1" applyBorder="1" applyAlignment="1" applyProtection="1">
      <alignment horizontal="left" vertical="center" wrapText="1" indent="4"/>
      <protection/>
    </xf>
    <xf numFmtId="0" fontId="29" fillId="0" borderId="58" xfId="100" applyNumberFormat="1" applyFont="1" applyFill="1" applyBorder="1" applyAlignment="1" applyProtection="1">
      <alignment horizontal="left" vertical="center" wrapText="1" indent="1"/>
      <protection/>
    </xf>
    <xf numFmtId="0" fontId="29" fillId="0" borderId="24" xfId="100" applyFont="1" applyFill="1" applyBorder="1" applyAlignment="1" applyProtection="1">
      <alignment horizontal="left" vertical="center" wrapText="1" indent="1"/>
      <protection/>
    </xf>
    <xf numFmtId="49" fontId="64" fillId="0" borderId="24" xfId="100" applyNumberFormat="1" applyFont="1" applyFill="1" applyBorder="1" applyAlignment="1" applyProtection="1">
      <alignment horizontal="center" vertical="center"/>
      <protection/>
    </xf>
    <xf numFmtId="0" fontId="73" fillId="0" borderId="58" xfId="100" applyNumberFormat="1" applyFont="1" applyFill="1" applyBorder="1" applyAlignment="1" applyProtection="1">
      <alignment horizontal="center" vertical="center" wrapText="1"/>
      <protection/>
    </xf>
    <xf numFmtId="0" fontId="64" fillId="0" borderId="24" xfId="100" applyFont="1" applyFill="1" applyBorder="1" applyAlignment="1" applyProtection="1">
      <alignment horizontal="center" vertical="center" wrapText="1"/>
      <protection/>
    </xf>
    <xf numFmtId="4" fontId="64" fillId="0" borderId="25" xfId="100" applyNumberFormat="1" applyFont="1" applyFill="1" applyBorder="1" applyAlignment="1" applyProtection="1">
      <alignment horizontal="center" vertical="center" wrapText="1"/>
      <protection/>
    </xf>
    <xf numFmtId="4" fontId="64" fillId="0" borderId="54" xfId="100" applyNumberFormat="1" applyFont="1" applyFill="1" applyBorder="1" applyAlignment="1" applyProtection="1">
      <alignment horizontal="center" vertical="center" wrapText="1"/>
      <protection/>
    </xf>
    <xf numFmtId="4" fontId="64" fillId="0" borderId="14" xfId="100" applyNumberFormat="1" applyFont="1" applyFill="1" applyBorder="1" applyAlignment="1" applyProtection="1">
      <alignment horizontal="center" vertical="center" wrapText="1"/>
      <protection/>
    </xf>
    <xf numFmtId="4" fontId="64" fillId="0" borderId="9" xfId="100" applyNumberFormat="1" applyFont="1" applyFill="1" applyBorder="1" applyAlignment="1" applyProtection="1">
      <alignment horizontal="center" vertical="center" wrapText="1"/>
      <protection/>
    </xf>
    <xf numFmtId="4" fontId="64" fillId="41" borderId="40" xfId="100" applyNumberFormat="1" applyFont="1" applyFill="1" applyBorder="1" applyAlignment="1" applyProtection="1">
      <alignment horizontal="center" vertical="center" wrapText="1"/>
      <protection/>
    </xf>
    <xf numFmtId="4" fontId="29" fillId="41" borderId="52" xfId="100" applyNumberFormat="1" applyFont="1" applyFill="1" applyBorder="1" applyAlignment="1" applyProtection="1">
      <alignment horizontal="center" vertical="center" wrapText="1"/>
      <protection/>
    </xf>
    <xf numFmtId="49" fontId="31" fillId="45" borderId="73" xfId="100" applyNumberFormat="1" applyFont="1" applyFill="1" applyBorder="1" applyAlignment="1" applyProtection="1">
      <alignment horizontal="center" vertical="center"/>
      <protection/>
    </xf>
    <xf numFmtId="0" fontId="124" fillId="45" borderId="48" xfId="100" applyFont="1" applyFill="1" applyBorder="1" applyAlignment="1" applyProtection="1">
      <alignment horizontal="left" vertical="center" wrapText="1" indent="1"/>
      <protection/>
    </xf>
    <xf numFmtId="0" fontId="31" fillId="0" borderId="48" xfId="100" applyFont="1" applyFill="1" applyBorder="1" applyAlignment="1" applyProtection="1">
      <alignment horizontal="left" vertical="center" wrapText="1"/>
      <protection/>
    </xf>
    <xf numFmtId="49" fontId="31" fillId="0" borderId="80" xfId="100" applyNumberFormat="1" applyFont="1" applyFill="1" applyBorder="1" applyAlignment="1" applyProtection="1">
      <alignment horizontal="center" vertical="center"/>
      <protection/>
    </xf>
    <xf numFmtId="0" fontId="29" fillId="0" borderId="81" xfId="100" applyFont="1" applyFill="1" applyBorder="1" applyAlignment="1" applyProtection="1">
      <alignment horizontal="left" vertical="center" wrapText="1" indent="1"/>
      <protection/>
    </xf>
    <xf numFmtId="49" fontId="29" fillId="0" borderId="82" xfId="113" applyNumberFormat="1" applyFont="1" applyFill="1" applyBorder="1" applyAlignment="1" applyProtection="1">
      <alignment horizontal="center" vertical="center" wrapText="1"/>
      <protection/>
    </xf>
    <xf numFmtId="49" fontId="31" fillId="0" borderId="72" xfId="100" applyNumberFormat="1" applyFont="1" applyFill="1" applyBorder="1" applyAlignment="1" applyProtection="1">
      <alignment horizontal="center" vertical="center"/>
      <protection/>
    </xf>
    <xf numFmtId="0" fontId="29" fillId="0" borderId="88" xfId="100" applyFont="1" applyFill="1" applyBorder="1" applyAlignment="1" applyProtection="1">
      <alignment horizontal="left" vertical="center" wrapText="1" indent="1"/>
      <protection/>
    </xf>
    <xf numFmtId="49" fontId="29" fillId="0" borderId="89" xfId="113" applyNumberFormat="1" applyFont="1" applyFill="1" applyBorder="1" applyAlignment="1" applyProtection="1">
      <alignment horizontal="center" vertical="center" wrapText="1"/>
      <protection/>
    </xf>
    <xf numFmtId="49" fontId="31" fillId="0" borderId="37" xfId="100" applyNumberFormat="1" applyFont="1" applyFill="1" applyBorder="1" applyAlignment="1" applyProtection="1">
      <alignment horizontal="center" vertical="center"/>
      <protection/>
    </xf>
    <xf numFmtId="0" fontId="29" fillId="0" borderId="77" xfId="100" applyFont="1" applyFill="1" applyBorder="1" applyAlignment="1" applyProtection="1">
      <alignment horizontal="center" vertical="center"/>
      <protection/>
    </xf>
    <xf numFmtId="0" fontId="63" fillId="41" borderId="0" xfId="100" applyFont="1" applyFill="1" applyAlignment="1" applyProtection="1">
      <alignment vertical="center"/>
      <protection/>
    </xf>
    <xf numFmtId="49" fontId="29" fillId="41" borderId="72" xfId="100" applyNumberFormat="1" applyFont="1" applyFill="1" applyBorder="1" applyAlignment="1" applyProtection="1">
      <alignment horizontal="center" vertical="center"/>
      <protection/>
    </xf>
    <xf numFmtId="0" fontId="29" fillId="41" borderId="88" xfId="100" applyFont="1" applyFill="1" applyBorder="1" applyAlignment="1" applyProtection="1">
      <alignment horizontal="left" vertical="center" wrapText="1" indent="1"/>
      <protection/>
    </xf>
    <xf numFmtId="0" fontId="29" fillId="41" borderId="89" xfId="100" applyFont="1" applyFill="1" applyBorder="1" applyAlignment="1" applyProtection="1">
      <alignment horizontal="center" vertical="center"/>
      <protection/>
    </xf>
    <xf numFmtId="4" fontId="29" fillId="41" borderId="27" xfId="100" applyNumberFormat="1" applyFont="1" applyFill="1" applyBorder="1" applyAlignment="1" applyProtection="1">
      <alignment horizontal="center" vertical="center" wrapText="1"/>
      <protection/>
    </xf>
    <xf numFmtId="0" fontId="31" fillId="41" borderId="0" xfId="100" applyFont="1" applyFill="1" applyBorder="1" applyAlignment="1" applyProtection="1">
      <alignment horizontal="left" vertical="center" wrapText="1" indent="1"/>
      <protection/>
    </xf>
    <xf numFmtId="0" fontId="29" fillId="41" borderId="82" xfId="100" applyFont="1" applyFill="1" applyBorder="1" applyAlignment="1" applyProtection="1">
      <alignment horizontal="center" vertical="center"/>
      <protection/>
    </xf>
    <xf numFmtId="49" fontId="41" fillId="45" borderId="80" xfId="100" applyNumberFormat="1" applyFont="1" applyFill="1" applyBorder="1" applyAlignment="1" applyProtection="1">
      <alignment horizontal="center" vertical="center"/>
      <protection/>
    </xf>
    <xf numFmtId="0" fontId="41" fillId="0" borderId="81" xfId="100" applyFont="1" applyFill="1" applyBorder="1" applyAlignment="1" applyProtection="1">
      <alignment horizontal="left" vertical="center" wrapText="1" indent="1"/>
      <protection/>
    </xf>
    <xf numFmtId="0" fontId="41" fillId="0" borderId="82" xfId="100" applyFont="1" applyFill="1" applyBorder="1" applyAlignment="1" applyProtection="1">
      <alignment horizontal="center" vertical="center"/>
      <protection/>
    </xf>
    <xf numFmtId="49" fontId="41" fillId="0" borderId="24" xfId="100" applyNumberFormat="1" applyFont="1" applyFill="1" applyBorder="1" applyAlignment="1" applyProtection="1">
      <alignment horizontal="center" vertical="center"/>
      <protection/>
    </xf>
    <xf numFmtId="0" fontId="41" fillId="0" borderId="58" xfId="100" applyFont="1" applyFill="1" applyBorder="1" applyAlignment="1" applyProtection="1">
      <alignment horizontal="left" vertical="center" wrapText="1" indent="1"/>
      <protection/>
    </xf>
    <xf numFmtId="0" fontId="41" fillId="0" borderId="77" xfId="100" applyFont="1" applyFill="1" applyBorder="1" applyAlignment="1" applyProtection="1">
      <alignment horizontal="center" vertical="center"/>
      <protection/>
    </xf>
    <xf numFmtId="0" fontId="31" fillId="41" borderId="48" xfId="100" applyFont="1" applyFill="1" applyBorder="1" applyAlignment="1" applyProtection="1">
      <alignment horizontal="left" vertical="center" wrapText="1" indent="1"/>
      <protection/>
    </xf>
    <xf numFmtId="0" fontId="29" fillId="41" borderId="73" xfId="100" applyFont="1" applyFill="1" applyBorder="1" applyAlignment="1" applyProtection="1">
      <alignment horizontal="center" vertical="center"/>
      <protection/>
    </xf>
    <xf numFmtId="4" fontId="29" fillId="41" borderId="30" xfId="100" applyNumberFormat="1" applyFont="1" applyFill="1" applyBorder="1" applyAlignment="1" applyProtection="1">
      <alignment horizontal="center" vertical="center" wrapText="1"/>
      <protection/>
    </xf>
    <xf numFmtId="4" fontId="29" fillId="41" borderId="35" xfId="100" applyNumberFormat="1" applyFont="1" applyFill="1" applyBorder="1" applyAlignment="1" applyProtection="1">
      <alignment horizontal="center" vertical="center" wrapText="1"/>
      <protection/>
    </xf>
    <xf numFmtId="0" fontId="71" fillId="0" borderId="0" xfId="100" applyFont="1" applyAlignment="1" applyProtection="1">
      <alignment vertical="center"/>
      <protection/>
    </xf>
    <xf numFmtId="0" fontId="31" fillId="41" borderId="48" xfId="100" applyFont="1" applyFill="1" applyBorder="1" applyAlignment="1" applyProtection="1">
      <alignment horizontal="left" vertical="center" wrapText="1"/>
      <protection/>
    </xf>
    <xf numFmtId="0" fontId="31" fillId="41" borderId="73" xfId="100" applyFont="1" applyFill="1" applyBorder="1" applyAlignment="1" applyProtection="1">
      <alignment horizontal="center" vertical="center"/>
      <protection/>
    </xf>
    <xf numFmtId="0" fontId="31" fillId="0" borderId="0" xfId="100" applyFont="1" applyAlignment="1" applyProtection="1">
      <alignment horizontal="center" vertical="center"/>
      <protection/>
    </xf>
    <xf numFmtId="0" fontId="124" fillId="0" borderId="0" xfId="0" applyFont="1" applyAlignment="1" applyProtection="1">
      <alignment/>
      <protection/>
    </xf>
    <xf numFmtId="0" fontId="123" fillId="41" borderId="81" xfId="100" applyFont="1" applyFill="1" applyBorder="1" applyAlignment="1" applyProtection="1">
      <alignment horizontal="left" vertical="center" wrapText="1"/>
      <protection/>
    </xf>
    <xf numFmtId="0" fontId="123" fillId="41" borderId="58" xfId="100" applyFont="1" applyFill="1" applyBorder="1" applyAlignment="1" applyProtection="1">
      <alignment horizontal="left" vertical="center" wrapText="1"/>
      <protection/>
    </xf>
    <xf numFmtId="0" fontId="29" fillId="41" borderId="77" xfId="100" applyFont="1" applyFill="1" applyBorder="1" applyAlignment="1" applyProtection="1">
      <alignment horizontal="center" vertical="center"/>
      <protection/>
    </xf>
    <xf numFmtId="0" fontId="29" fillId="41" borderId="58" xfId="100" applyFont="1" applyFill="1" applyBorder="1" applyAlignment="1" applyProtection="1">
      <alignment horizontal="left" vertical="center" wrapText="1"/>
      <protection/>
    </xf>
    <xf numFmtId="0" fontId="29" fillId="41" borderId="88" xfId="100" applyFont="1" applyFill="1" applyBorder="1" applyAlignment="1" applyProtection="1">
      <alignment horizontal="left" vertical="center" wrapText="1"/>
      <protection/>
    </xf>
    <xf numFmtId="49" fontId="29" fillId="41" borderId="90" xfId="100" applyNumberFormat="1" applyFont="1" applyFill="1" applyBorder="1" applyAlignment="1" applyProtection="1">
      <alignment horizontal="center" vertical="center"/>
      <protection/>
    </xf>
    <xf numFmtId="0" fontId="29" fillId="41" borderId="91" xfId="100" applyFont="1" applyFill="1" applyBorder="1" applyAlignment="1" applyProtection="1">
      <alignment horizontal="left" vertical="center" wrapText="1"/>
      <protection/>
    </xf>
    <xf numFmtId="0" fontId="31" fillId="41" borderId="90" xfId="100" applyFont="1" applyFill="1" applyBorder="1" applyAlignment="1" applyProtection="1">
      <alignment horizontal="center" vertical="center"/>
      <protection/>
    </xf>
    <xf numFmtId="0" fontId="31" fillId="41" borderId="72" xfId="100" applyFont="1" applyFill="1" applyBorder="1" applyAlignment="1" applyProtection="1">
      <alignment horizontal="center" vertical="center"/>
      <protection/>
    </xf>
    <xf numFmtId="49" fontId="31" fillId="46" borderId="90" xfId="100" applyNumberFormat="1" applyFont="1" applyFill="1" applyBorder="1" applyAlignment="1" applyProtection="1">
      <alignment horizontal="center" vertical="center"/>
      <protection/>
    </xf>
    <xf numFmtId="0" fontId="31" fillId="46" borderId="91" xfId="100" applyFont="1" applyFill="1" applyBorder="1" applyAlignment="1" applyProtection="1">
      <alignment horizontal="left" vertical="center" wrapText="1"/>
      <protection/>
    </xf>
    <xf numFmtId="0" fontId="31" fillId="46" borderId="72" xfId="100" applyFont="1" applyFill="1" applyBorder="1" applyAlignment="1" applyProtection="1">
      <alignment horizontal="center" vertical="center"/>
      <protection/>
    </xf>
    <xf numFmtId="49" fontId="31" fillId="46" borderId="73" xfId="100" applyNumberFormat="1" applyFont="1" applyFill="1" applyBorder="1" applyAlignment="1" applyProtection="1">
      <alignment horizontal="center" vertical="center"/>
      <protection/>
    </xf>
    <xf numFmtId="0" fontId="31" fillId="46" borderId="48" xfId="100" applyFont="1" applyFill="1" applyBorder="1" applyAlignment="1" applyProtection="1">
      <alignment horizontal="left" vertical="center" wrapText="1"/>
      <protection/>
    </xf>
    <xf numFmtId="49" fontId="29" fillId="46" borderId="73" xfId="113" applyNumberFormat="1" applyFont="1" applyFill="1" applyBorder="1" applyAlignment="1" applyProtection="1">
      <alignment horizontal="center" vertical="center" wrapText="1"/>
      <protection/>
    </xf>
    <xf numFmtId="0" fontId="123" fillId="0" borderId="0" xfId="0" applyFont="1" applyFill="1" applyAlignment="1" applyProtection="1">
      <alignment/>
      <protection/>
    </xf>
    <xf numFmtId="49" fontId="29" fillId="0" borderId="73" xfId="113" applyNumberFormat="1" applyFont="1" applyFill="1" applyBorder="1" applyAlignment="1" applyProtection="1">
      <alignment horizontal="center" vertical="center" wrapText="1"/>
      <protection/>
    </xf>
    <xf numFmtId="4" fontId="29" fillId="0" borderId="0" xfId="100" applyNumberFormat="1" applyFont="1" applyBorder="1" applyAlignment="1" applyProtection="1">
      <alignment horizontal="center" vertical="center"/>
      <protection/>
    </xf>
    <xf numFmtId="0" fontId="41" fillId="0" borderId="0" xfId="105" applyFont="1" applyFill="1" applyBorder="1" applyAlignment="1" applyProtection="1">
      <alignment horizontal="left" vertical="center" wrapText="1"/>
      <protection/>
    </xf>
    <xf numFmtId="4" fontId="41" fillId="0" borderId="0" xfId="105" applyNumberFormat="1" applyFont="1" applyAlignment="1" applyProtection="1">
      <alignment vertical="center"/>
      <protection/>
    </xf>
    <xf numFmtId="49" fontId="41" fillId="0" borderId="0" xfId="105" applyNumberFormat="1" applyFont="1" applyBorder="1" applyAlignment="1" applyProtection="1">
      <alignment horizontal="center" vertical="top" wrapText="1"/>
      <protection/>
    </xf>
    <xf numFmtId="49" fontId="29" fillId="0" borderId="0" xfId="105" applyNumberFormat="1" applyFont="1" applyBorder="1" applyAlignment="1" applyProtection="1">
      <alignment horizontal="center" vertical="top" wrapText="1"/>
      <protection/>
    </xf>
    <xf numFmtId="4" fontId="30" fillId="0" borderId="0" xfId="0" applyNumberFormat="1" applyFont="1" applyAlignment="1" applyProtection="1">
      <alignment/>
      <protection/>
    </xf>
    <xf numFmtId="4" fontId="123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4" fontId="29" fillId="36" borderId="18" xfId="100" applyNumberFormat="1" applyFont="1" applyFill="1" applyBorder="1" applyAlignment="1" applyProtection="1">
      <alignment horizontal="center" vertical="center" wrapText="1"/>
      <protection locked="0"/>
    </xf>
    <xf numFmtId="0" fontId="12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23" fillId="0" borderId="0" xfId="0" applyFont="1" applyAlignment="1" applyProtection="1">
      <alignment vertical="center"/>
      <protection/>
    </xf>
    <xf numFmtId="0" fontId="124" fillId="0" borderId="21" xfId="0" applyFont="1" applyBorder="1" applyAlignment="1" applyProtection="1">
      <alignment horizontal="center" vertical="center" wrapText="1"/>
      <protection/>
    </xf>
    <xf numFmtId="0" fontId="124" fillId="0" borderId="43" xfId="0" applyFont="1" applyBorder="1" applyAlignment="1" applyProtection="1">
      <alignment horizontal="center" vertical="center" wrapText="1"/>
      <protection/>
    </xf>
    <xf numFmtId="0" fontId="124" fillId="0" borderId="9" xfId="0" applyFont="1" applyBorder="1" applyAlignment="1" applyProtection="1">
      <alignment horizontal="center"/>
      <protection/>
    </xf>
    <xf numFmtId="0" fontId="124" fillId="0" borderId="87" xfId="0" applyFont="1" applyBorder="1" applyAlignment="1" applyProtection="1">
      <alignment horizontal="center"/>
      <protection/>
    </xf>
    <xf numFmtId="49" fontId="71" fillId="0" borderId="90" xfId="0" applyNumberFormat="1" applyFont="1" applyBorder="1" applyAlignment="1" applyProtection="1">
      <alignment horizontal="center" vertical="center" wrapText="1"/>
      <protection/>
    </xf>
    <xf numFmtId="0" fontId="127" fillId="0" borderId="91" xfId="0" applyFont="1" applyBorder="1" applyAlignment="1" applyProtection="1">
      <alignment horizontal="center" vertical="center" wrapText="1"/>
      <protection/>
    </xf>
    <xf numFmtId="0" fontId="127" fillId="0" borderId="90" xfId="0" applyFont="1" applyBorder="1" applyAlignment="1" applyProtection="1">
      <alignment horizontal="center" vertical="center" wrapText="1"/>
      <protection/>
    </xf>
    <xf numFmtId="0" fontId="127" fillId="0" borderId="29" xfId="0" applyFont="1" applyBorder="1" applyAlignment="1" applyProtection="1">
      <alignment horizontal="center"/>
      <protection/>
    </xf>
    <xf numFmtId="0" fontId="127" fillId="0" borderId="29" xfId="0" applyFont="1" applyBorder="1" applyAlignment="1" applyProtection="1">
      <alignment horizontal="center" vertical="center" wrapText="1"/>
      <protection/>
    </xf>
    <xf numFmtId="0" fontId="127" fillId="0" borderId="70" xfId="0" applyFont="1" applyBorder="1" applyAlignment="1" applyProtection="1">
      <alignment horizontal="center" vertical="center" wrapText="1"/>
      <protection/>
    </xf>
    <xf numFmtId="49" fontId="124" fillId="0" borderId="24" xfId="0" applyNumberFormat="1" applyFont="1" applyBorder="1" applyAlignment="1" applyProtection="1">
      <alignment horizontal="center" vertical="center"/>
      <protection/>
    </xf>
    <xf numFmtId="0" fontId="31" fillId="0" borderId="58" xfId="0" applyFont="1" applyBorder="1" applyAlignment="1" applyProtection="1">
      <alignment vertical="center" wrapText="1"/>
      <protection/>
    </xf>
    <xf numFmtId="0" fontId="31" fillId="0" borderId="24" xfId="0" applyFont="1" applyBorder="1" applyAlignment="1" applyProtection="1">
      <alignment vertical="center" wrapText="1"/>
      <protection/>
    </xf>
    <xf numFmtId="0" fontId="31" fillId="0" borderId="9" xfId="0" applyFont="1" applyBorder="1" applyAlignment="1" applyProtection="1">
      <alignment vertical="center" wrapText="1"/>
      <protection/>
    </xf>
    <xf numFmtId="0" fontId="31" fillId="0" borderId="87" xfId="0" applyFont="1" applyBorder="1" applyAlignment="1" applyProtection="1">
      <alignment vertical="center" wrapText="1"/>
      <protection/>
    </xf>
    <xf numFmtId="49" fontId="123" fillId="0" borderId="24" xfId="0" applyNumberFormat="1" applyFont="1" applyBorder="1" applyAlignment="1" applyProtection="1">
      <alignment horizontal="center" vertical="center"/>
      <protection/>
    </xf>
    <xf numFmtId="0" fontId="29" fillId="0" borderId="58" xfId="0" applyFont="1" applyBorder="1" applyAlignment="1" applyProtection="1">
      <alignment vertical="center" wrapText="1"/>
      <protection/>
    </xf>
    <xf numFmtId="0" fontId="29" fillId="0" borderId="24" xfId="0" applyFont="1" applyBorder="1" applyAlignment="1" applyProtection="1">
      <alignment horizontal="center" vertical="center" wrapText="1"/>
      <protection/>
    </xf>
    <xf numFmtId="4" fontId="31" fillId="0" borderId="9" xfId="0" applyNumberFormat="1" applyFont="1" applyFill="1" applyBorder="1" applyAlignment="1" applyProtection="1">
      <alignment horizontal="center" vertical="center" wrapText="1"/>
      <protection/>
    </xf>
    <xf numFmtId="4" fontId="31" fillId="0" borderId="87" xfId="0" applyNumberFormat="1" applyFont="1" applyFill="1" applyBorder="1" applyAlignment="1" applyProtection="1">
      <alignment horizontal="center" vertical="center" wrapText="1"/>
      <protection/>
    </xf>
    <xf numFmtId="4" fontId="29" fillId="0" borderId="9" xfId="0" applyNumberFormat="1" applyFont="1" applyFill="1" applyBorder="1" applyAlignment="1" applyProtection="1">
      <alignment horizontal="center" vertical="center" wrapText="1"/>
      <protection/>
    </xf>
    <xf numFmtId="4" fontId="29" fillId="0" borderId="87" xfId="0" applyNumberFormat="1" applyFont="1" applyFill="1" applyBorder="1" applyAlignment="1" applyProtection="1">
      <alignment horizontal="center" vertical="center" wrapText="1"/>
      <protection/>
    </xf>
    <xf numFmtId="4" fontId="29" fillId="45" borderId="9" xfId="0" applyNumberFormat="1" applyFont="1" applyFill="1" applyBorder="1" applyAlignment="1" applyProtection="1">
      <alignment horizontal="center" vertical="center" wrapText="1"/>
      <protection/>
    </xf>
    <xf numFmtId="4" fontId="29" fillId="45" borderId="87" xfId="0" applyNumberFormat="1" applyFont="1" applyFill="1" applyBorder="1" applyAlignment="1" applyProtection="1">
      <alignment horizontal="center" vertical="center" wrapText="1"/>
      <protection/>
    </xf>
    <xf numFmtId="4" fontId="31" fillId="0" borderId="9" xfId="0" applyNumberFormat="1" applyFont="1" applyBorder="1" applyAlignment="1" applyProtection="1">
      <alignment horizontal="center" vertical="center" wrapText="1"/>
      <protection/>
    </xf>
    <xf numFmtId="0" fontId="29" fillId="0" borderId="58" xfId="0" applyFont="1" applyFill="1" applyBorder="1" applyAlignment="1" applyProtection="1">
      <alignment vertical="center" wrapText="1"/>
      <protection/>
    </xf>
    <xf numFmtId="4" fontId="31" fillId="0" borderId="9" xfId="0" applyNumberFormat="1" applyFont="1" applyBorder="1" applyAlignment="1" applyProtection="1">
      <alignment vertical="center" wrapText="1"/>
      <protection/>
    </xf>
    <xf numFmtId="4" fontId="29" fillId="42" borderId="9" xfId="0" applyNumberFormat="1" applyFont="1" applyFill="1" applyBorder="1" applyAlignment="1" applyProtection="1">
      <alignment horizontal="center" vertical="center" wrapText="1"/>
      <protection/>
    </xf>
    <xf numFmtId="4" fontId="29" fillId="0" borderId="9" xfId="0" applyNumberFormat="1" applyFont="1" applyBorder="1" applyAlignment="1" applyProtection="1">
      <alignment horizontal="center" vertical="center" wrapText="1"/>
      <protection/>
    </xf>
    <xf numFmtId="4" fontId="29" fillId="36" borderId="9" xfId="0" applyNumberFormat="1" applyFont="1" applyFill="1" applyBorder="1" applyAlignment="1" applyProtection="1">
      <alignment horizontal="center" vertical="center" wrapText="1"/>
      <protection locked="0"/>
    </xf>
    <xf numFmtId="4" fontId="31" fillId="36" borderId="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6" xfId="100" applyFont="1" applyFill="1" applyBorder="1" applyAlignment="1" applyProtection="1">
      <alignment horizontal="left" vertical="center"/>
      <protection/>
    </xf>
    <xf numFmtId="0" fontId="33" fillId="0" borderId="0" xfId="100" applyFont="1" applyBorder="1" applyAlignment="1" applyProtection="1">
      <alignment horizontal="left" vertical="center"/>
      <protection/>
    </xf>
    <xf numFmtId="0" fontId="41" fillId="0" borderId="0" xfId="100" applyFont="1" applyFill="1" applyBorder="1" applyAlignment="1" applyProtection="1">
      <alignment horizontal="left" vertical="center"/>
      <protection/>
    </xf>
    <xf numFmtId="0" fontId="33" fillId="0" borderId="0" xfId="100" applyFont="1" applyBorder="1" applyAlignment="1" applyProtection="1">
      <alignment horizontal="center" vertical="center" wrapText="1"/>
      <protection/>
    </xf>
    <xf numFmtId="0" fontId="41" fillId="0" borderId="17" xfId="105" applyFont="1" applyFill="1" applyBorder="1" applyAlignment="1" applyProtection="1">
      <alignment horizontal="left" vertical="center"/>
      <protection/>
    </xf>
    <xf numFmtId="0" fontId="3" fillId="0" borderId="9" xfId="100" applyFont="1" applyBorder="1" applyAlignment="1" applyProtection="1">
      <alignment horizontal="center" vertical="center" wrapText="1"/>
      <protection/>
    </xf>
    <xf numFmtId="0" fontId="0" fillId="0" borderId="9" xfId="100" applyFont="1" applyFill="1" applyBorder="1" applyAlignment="1" applyProtection="1">
      <alignment horizontal="center" vertical="center" wrapText="1"/>
      <protection/>
    </xf>
    <xf numFmtId="0" fontId="70" fillId="0" borderId="16" xfId="100" applyFont="1" applyFill="1" applyBorder="1" applyAlignment="1" applyProtection="1">
      <alignment vertical="center"/>
      <protection/>
    </xf>
    <xf numFmtId="0" fontId="33" fillId="0" borderId="16" xfId="100" applyFont="1" applyFill="1" applyBorder="1" applyAlignment="1" applyProtection="1">
      <alignment vertical="center"/>
      <protection/>
    </xf>
    <xf numFmtId="0" fontId="33" fillId="0" borderId="0" xfId="100" applyFont="1" applyAlignment="1" applyProtection="1">
      <alignment vertical="center"/>
      <protection/>
    </xf>
    <xf numFmtId="0" fontId="33" fillId="0" borderId="0" xfId="100" applyFont="1" applyAlignment="1" applyProtection="1">
      <alignment horizontal="center" vertical="center" wrapText="1"/>
      <protection/>
    </xf>
    <xf numFmtId="0" fontId="3" fillId="0" borderId="0" xfId="100" applyFont="1" applyBorder="1" applyAlignment="1" applyProtection="1">
      <alignment vertical="center"/>
      <protection/>
    </xf>
    <xf numFmtId="49" fontId="3" fillId="0" borderId="9" xfId="100" applyNumberFormat="1" applyFont="1" applyBorder="1" applyAlignment="1" applyProtection="1">
      <alignment horizontal="center" vertical="center" wrapText="1"/>
      <protection/>
    </xf>
    <xf numFmtId="49" fontId="34" fillId="0" borderId="0" xfId="105" applyNumberFormat="1" applyFont="1" applyBorder="1" applyAlignment="1" applyProtection="1">
      <alignment horizontal="left" vertical="center" wrapText="1"/>
      <protection/>
    </xf>
    <xf numFmtId="0" fontId="34" fillId="0" borderId="0" xfId="105" applyFont="1" applyBorder="1" applyAlignment="1" applyProtection="1">
      <alignment vertical="center" wrapText="1"/>
      <protection/>
    </xf>
    <xf numFmtId="2" fontId="34" fillId="0" borderId="0" xfId="105" applyNumberFormat="1" applyFont="1" applyBorder="1" applyAlignment="1" applyProtection="1">
      <alignment horizontal="center" vertical="center"/>
      <protection/>
    </xf>
    <xf numFmtId="0" fontId="37" fillId="0" borderId="0" xfId="100" applyFont="1" applyBorder="1" applyAlignment="1" applyProtection="1">
      <alignment horizontal="center" vertical="center"/>
      <protection/>
    </xf>
    <xf numFmtId="0" fontId="0" fillId="0" borderId="0" xfId="100" applyFont="1" applyFill="1" applyBorder="1" applyAlignment="1" applyProtection="1">
      <alignment vertical="center"/>
      <protection/>
    </xf>
    <xf numFmtId="0" fontId="3" fillId="0" borderId="0" xfId="100" applyFont="1" applyFill="1" applyBorder="1" applyAlignment="1" applyProtection="1">
      <alignment vertical="center" wrapText="1"/>
      <protection/>
    </xf>
    <xf numFmtId="0" fontId="3" fillId="0" borderId="0" xfId="100" applyFont="1" applyAlignment="1" applyProtection="1">
      <alignment vertical="center"/>
      <protection/>
    </xf>
    <xf numFmtId="0" fontId="3" fillId="0" borderId="0" xfId="100" applyFont="1" applyAlignment="1" applyProtection="1">
      <alignment horizontal="left" vertical="center"/>
      <protection/>
    </xf>
    <xf numFmtId="0" fontId="3" fillId="0" borderId="0" xfId="100" applyFont="1" applyBorder="1" applyAlignment="1" applyProtection="1">
      <alignment horizontal="left" vertical="center"/>
      <protection/>
    </xf>
    <xf numFmtId="0" fontId="3" fillId="0" borderId="0" xfId="100" applyFont="1" applyAlignment="1" applyProtection="1">
      <alignment horizontal="right" vertical="center"/>
      <protection/>
    </xf>
    <xf numFmtId="0" fontId="38" fillId="0" borderId="16" xfId="100" applyFont="1" applyFill="1" applyBorder="1" applyAlignment="1" applyProtection="1">
      <alignment vertical="center"/>
      <protection/>
    </xf>
    <xf numFmtId="0" fontId="3" fillId="0" borderId="16" xfId="100" applyFont="1" applyFill="1" applyBorder="1" applyAlignment="1" applyProtection="1">
      <alignment vertical="center"/>
      <protection/>
    </xf>
    <xf numFmtId="0" fontId="3" fillId="0" borderId="0" xfId="100" applyFont="1" applyAlignment="1" applyProtection="1">
      <alignment vertical="center" wrapText="1"/>
      <protection/>
    </xf>
    <xf numFmtId="0" fontId="3" fillId="0" borderId="17" xfId="100" applyFont="1" applyFill="1" applyBorder="1" applyAlignment="1" applyProtection="1">
      <alignment vertical="center" wrapText="1"/>
      <protection/>
    </xf>
    <xf numFmtId="0" fontId="28" fillId="0" borderId="0" xfId="100" applyFont="1" applyBorder="1" applyAlignment="1" applyProtection="1">
      <alignment horizontal="right" vertical="center"/>
      <protection/>
    </xf>
    <xf numFmtId="0" fontId="3" fillId="0" borderId="0" xfId="100" applyFont="1" applyBorder="1" applyAlignment="1" applyProtection="1">
      <alignment horizontal="left" vertical="center" wrapText="1"/>
      <protection/>
    </xf>
    <xf numFmtId="0" fontId="3" fillId="0" borderId="0" xfId="94" applyFont="1" applyBorder="1" applyProtection="1">
      <alignment/>
      <protection/>
    </xf>
    <xf numFmtId="4" fontId="34" fillId="36" borderId="9" xfId="105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100" applyFont="1" applyAlignment="1" applyProtection="1">
      <alignment vertical="center"/>
      <protection/>
    </xf>
    <xf numFmtId="0" fontId="38" fillId="0" borderId="0" xfId="100" applyFont="1" applyFill="1" applyBorder="1" applyAlignment="1" applyProtection="1">
      <alignment horizontal="center" vertical="center"/>
      <protection/>
    </xf>
    <xf numFmtId="0" fontId="38" fillId="0" borderId="0" xfId="100" applyFont="1" applyAlignment="1" applyProtection="1">
      <alignment horizontal="center" vertical="center"/>
      <protection/>
    </xf>
    <xf numFmtId="0" fontId="38" fillId="0" borderId="17" xfId="100" applyFont="1" applyFill="1" applyBorder="1" applyAlignment="1" applyProtection="1">
      <alignment horizontal="center" vertical="center"/>
      <protection/>
    </xf>
    <xf numFmtId="0" fontId="34" fillId="0" borderId="0" xfId="100" applyFont="1" applyBorder="1" applyAlignment="1" applyProtection="1">
      <alignment horizontal="left" vertical="center"/>
      <protection/>
    </xf>
    <xf numFmtId="0" fontId="38" fillId="0" borderId="0" xfId="100" applyFont="1" applyBorder="1" applyAlignment="1" applyProtection="1">
      <alignment horizontal="center" vertical="center"/>
      <protection/>
    </xf>
    <xf numFmtId="0" fontId="39" fillId="0" borderId="9" xfId="100" applyFont="1" applyFill="1" applyBorder="1" applyAlignment="1" applyProtection="1">
      <alignment horizontal="center" vertical="center" wrapText="1"/>
      <protection/>
    </xf>
    <xf numFmtId="0" fontId="28" fillId="0" borderId="9" xfId="100" applyFont="1" applyFill="1" applyBorder="1" applyAlignment="1" applyProtection="1">
      <alignment horizontal="left" vertical="center"/>
      <protection/>
    </xf>
    <xf numFmtId="0" fontId="39" fillId="0" borderId="0" xfId="100" applyFont="1" applyAlignment="1" applyProtection="1">
      <alignment vertical="center"/>
      <protection/>
    </xf>
    <xf numFmtId="0" fontId="33" fillId="0" borderId="0" xfId="100" applyFont="1" applyAlignment="1" applyProtection="1">
      <alignment horizontal="left" vertical="center"/>
      <protection/>
    </xf>
    <xf numFmtId="0" fontId="3" fillId="0" borderId="0" xfId="100" applyFont="1" applyAlignment="1" applyProtection="1">
      <alignment horizontal="center" vertical="center" wrapText="1"/>
      <protection/>
    </xf>
    <xf numFmtId="0" fontId="3" fillId="0" borderId="0" xfId="100" applyFont="1" applyBorder="1" applyAlignment="1" applyProtection="1">
      <alignment vertical="center" wrapText="1"/>
      <protection/>
    </xf>
    <xf numFmtId="0" fontId="39" fillId="0" borderId="0" xfId="100" applyFont="1" applyBorder="1" applyAlignment="1" applyProtection="1">
      <alignment vertical="center" wrapText="1"/>
      <protection/>
    </xf>
    <xf numFmtId="0" fontId="41" fillId="0" borderId="0" xfId="105" applyFont="1" applyFill="1" applyBorder="1" applyAlignment="1" applyProtection="1">
      <alignment horizontal="left" vertical="center"/>
      <protection/>
    </xf>
    <xf numFmtId="0" fontId="34" fillId="0" borderId="0" xfId="105" applyFont="1" applyFill="1" applyBorder="1" applyAlignment="1" applyProtection="1">
      <alignment horizontal="left" vertical="center"/>
      <protection/>
    </xf>
    <xf numFmtId="0" fontId="33" fillId="0" borderId="9" xfId="100" applyFont="1" applyBorder="1" applyAlignment="1" applyProtection="1">
      <alignment horizontal="center" vertical="center" wrapText="1"/>
      <protection/>
    </xf>
    <xf numFmtId="0" fontId="33" fillId="0" borderId="9" xfId="100" applyFont="1" applyBorder="1" applyAlignment="1" applyProtection="1">
      <alignment vertical="center"/>
      <protection/>
    </xf>
    <xf numFmtId="0" fontId="33" fillId="0" borderId="9" xfId="100" applyFont="1" applyBorder="1" applyAlignment="1" applyProtection="1">
      <alignment vertical="center" wrapText="1"/>
      <protection/>
    </xf>
    <xf numFmtId="0" fontId="3" fillId="0" borderId="0" xfId="10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wrapText="1"/>
      <protection/>
    </xf>
    <xf numFmtId="0" fontId="12" fillId="0" borderId="0" xfId="0" applyFont="1" applyAlignment="1" applyProtection="1">
      <alignment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33" fillId="0" borderId="0" xfId="10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 wrapText="1"/>
      <protection/>
    </xf>
    <xf numFmtId="0" fontId="0" fillId="0" borderId="9" xfId="94" applyFont="1" applyBorder="1" applyAlignment="1" applyProtection="1">
      <alignment horizontal="center" vertical="center"/>
      <protection/>
    </xf>
    <xf numFmtId="0" fontId="3" fillId="0" borderId="9" xfId="94" applyFont="1" applyBorder="1" applyAlignment="1" applyProtection="1">
      <alignment horizontal="center" vertical="center" wrapText="1"/>
      <protection/>
    </xf>
    <xf numFmtId="0" fontId="33" fillId="0" borderId="9" xfId="0" applyFont="1" applyBorder="1" applyAlignment="1" applyProtection="1">
      <alignment horizontal="left" vertical="center"/>
      <protection/>
    </xf>
    <xf numFmtId="0" fontId="33" fillId="0" borderId="9" xfId="0" applyFont="1" applyBorder="1" applyAlignment="1" applyProtection="1">
      <alignment vertical="center"/>
      <protection/>
    </xf>
    <xf numFmtId="0" fontId="3" fillId="0" borderId="16" xfId="100" applyFont="1" applyFill="1" applyBorder="1" applyAlignment="1" applyProtection="1">
      <alignment horizontal="left" vertical="center"/>
      <protection/>
    </xf>
    <xf numFmtId="0" fontId="3" fillId="0" borderId="0" xfId="100" applyFont="1" applyFill="1" applyBorder="1" applyAlignment="1" applyProtection="1">
      <alignment vertical="center"/>
      <protection/>
    </xf>
    <xf numFmtId="0" fontId="3" fillId="0" borderId="17" xfId="100" applyFont="1" applyFill="1" applyBorder="1" applyAlignment="1" applyProtection="1">
      <alignment vertical="center"/>
      <protection/>
    </xf>
    <xf numFmtId="0" fontId="39" fillId="0" borderId="0" xfId="100" applyFont="1" applyBorder="1" applyAlignment="1" applyProtection="1">
      <alignment vertical="center"/>
      <protection/>
    </xf>
    <xf numFmtId="0" fontId="3" fillId="0" borderId="9" xfId="100" applyFont="1" applyBorder="1" applyAlignment="1" applyProtection="1">
      <alignment horizontal="center" vertical="center"/>
      <protection/>
    </xf>
    <xf numFmtId="0" fontId="40" fillId="0" borderId="0" xfId="100" applyFont="1" applyAlignment="1" applyProtection="1">
      <alignment vertical="center"/>
      <protection/>
    </xf>
    <xf numFmtId="0" fontId="33" fillId="0" borderId="0" xfId="100" applyFont="1" applyBorder="1" applyAlignment="1" applyProtection="1">
      <alignment vertical="center"/>
      <protection/>
    </xf>
    <xf numFmtId="0" fontId="3" fillId="0" borderId="0" xfId="100" applyFont="1" applyAlignment="1" applyProtection="1">
      <alignment horizontal="left" vertical="center" wrapText="1"/>
      <protection/>
    </xf>
    <xf numFmtId="2" fontId="33" fillId="0" borderId="0" xfId="100" applyNumberFormat="1" applyFont="1" applyAlignment="1" applyProtection="1">
      <alignment vertical="center"/>
      <protection/>
    </xf>
    <xf numFmtId="14" fontId="3" fillId="0" borderId="9" xfId="100" applyNumberFormat="1" applyFont="1" applyBorder="1" applyAlignment="1" applyProtection="1">
      <alignment horizontal="center" vertical="center" wrapText="1"/>
      <protection/>
    </xf>
    <xf numFmtId="0" fontId="0" fillId="0" borderId="0" xfId="100" applyFont="1" applyAlignment="1" applyProtection="1">
      <alignment vertical="center"/>
      <protection/>
    </xf>
    <xf numFmtId="0" fontId="20" fillId="0" borderId="0" xfId="100" applyFont="1" applyAlignment="1" applyProtection="1">
      <alignment vertical="center"/>
      <protection/>
    </xf>
    <xf numFmtId="0" fontId="33" fillId="0" borderId="0" xfId="100" applyFont="1" applyFill="1" applyBorder="1" applyAlignment="1" applyProtection="1">
      <alignment horizontal="center" vertical="center"/>
      <protection/>
    </xf>
    <xf numFmtId="0" fontId="33" fillId="0" borderId="17" xfId="100" applyFont="1" applyFill="1" applyBorder="1" applyAlignment="1" applyProtection="1">
      <alignment horizontal="center" vertical="center"/>
      <protection/>
    </xf>
    <xf numFmtId="0" fontId="0" fillId="0" borderId="0" xfId="100" applyFont="1" applyBorder="1" applyAlignment="1" applyProtection="1">
      <alignment vertical="center"/>
      <protection/>
    </xf>
    <xf numFmtId="0" fontId="20" fillId="0" borderId="0" xfId="100" applyFont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4" fontId="39" fillId="50" borderId="9" xfId="0" applyNumberFormat="1" applyFont="1" applyFill="1" applyBorder="1" applyAlignment="1" applyProtection="1">
      <alignment horizontal="right" vertical="center"/>
      <protection/>
    </xf>
    <xf numFmtId="0" fontId="3" fillId="0" borderId="0" xfId="105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0" fontId="3" fillId="0" borderId="0" xfId="100" applyFont="1" applyFill="1" applyBorder="1" applyAlignment="1" applyProtection="1">
      <alignment horizontal="center" vertical="center" wrapText="1"/>
      <protection/>
    </xf>
    <xf numFmtId="0" fontId="3" fillId="0" borderId="17" xfId="100" applyFont="1" applyFill="1" applyBorder="1" applyAlignment="1" applyProtection="1">
      <alignment horizontal="center" vertical="center" wrapText="1"/>
      <protection/>
    </xf>
    <xf numFmtId="0" fontId="3" fillId="0" borderId="0" xfId="100" applyFont="1" applyBorder="1" applyAlignment="1" applyProtection="1">
      <alignment horizontal="center" vertical="center"/>
      <protection/>
    </xf>
    <xf numFmtId="49" fontId="33" fillId="0" borderId="9" xfId="100" applyNumberFormat="1" applyFont="1" applyBorder="1" applyAlignment="1" applyProtection="1">
      <alignment horizontal="center" vertical="center" wrapText="1"/>
      <protection/>
    </xf>
    <xf numFmtId="0" fontId="33" fillId="0" borderId="9" xfId="100" applyFont="1" applyFill="1" applyBorder="1" applyAlignment="1" applyProtection="1">
      <alignment horizontal="left" vertical="center" wrapText="1"/>
      <protection/>
    </xf>
    <xf numFmtId="49" fontId="0" fillId="0" borderId="9" xfId="100" applyNumberFormat="1" applyFont="1" applyBorder="1" applyAlignment="1" applyProtection="1">
      <alignment horizontal="center" vertical="center" wrapText="1"/>
      <protection/>
    </xf>
    <xf numFmtId="0" fontId="33" fillId="0" borderId="9" xfId="100" applyFont="1" applyBorder="1" applyAlignment="1" applyProtection="1">
      <alignment horizontal="left" vertical="center" wrapText="1"/>
      <protection/>
    </xf>
    <xf numFmtId="0" fontId="3" fillId="0" borderId="0" xfId="100" applyFont="1" applyAlignment="1" applyProtection="1">
      <alignment horizontal="center" vertical="center"/>
      <protection/>
    </xf>
    <xf numFmtId="0" fontId="39" fillId="0" borderId="16" xfId="100" applyFont="1" applyFill="1" applyBorder="1" applyAlignment="1" applyProtection="1">
      <alignment vertical="center"/>
      <protection/>
    </xf>
    <xf numFmtId="0" fontId="33" fillId="0" borderId="0" xfId="10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28" fillId="0" borderId="9" xfId="100" applyFont="1" applyFill="1" applyBorder="1" applyAlignment="1" applyProtection="1">
      <alignment horizontal="center" vertical="center" wrapText="1"/>
      <protection/>
    </xf>
    <xf numFmtId="0" fontId="121" fillId="0" borderId="9" xfId="100" applyFont="1" applyFill="1" applyBorder="1" applyAlignment="1" applyProtection="1">
      <alignment horizontal="center" vertical="center" wrapText="1"/>
      <protection/>
    </xf>
    <xf numFmtId="0" fontId="40" fillId="0" borderId="9" xfId="100" applyFont="1" applyBorder="1" applyAlignment="1" applyProtection="1">
      <alignment horizontal="center" vertical="center" wrapText="1"/>
      <protection/>
    </xf>
    <xf numFmtId="4" fontId="33" fillId="0" borderId="9" xfId="100" applyNumberFormat="1" applyFont="1" applyFill="1" applyBorder="1" applyAlignment="1" applyProtection="1">
      <alignment horizontal="center" vertical="center"/>
      <protection/>
    </xf>
    <xf numFmtId="0" fontId="34" fillId="0" borderId="0" xfId="105" applyFont="1" applyAlignment="1" applyProtection="1">
      <alignment vertical="center"/>
      <protection/>
    </xf>
    <xf numFmtId="49" fontId="29" fillId="36" borderId="9" xfId="100" applyNumberFormat="1" applyFont="1" applyFill="1" applyBorder="1" applyAlignment="1" applyProtection="1">
      <alignment vertical="center" wrapText="1"/>
      <protection locked="0"/>
    </xf>
    <xf numFmtId="0" fontId="18" fillId="0" borderId="16" xfId="100" applyFont="1" applyFill="1" applyBorder="1" applyAlignment="1" applyProtection="1">
      <alignment vertical="center"/>
      <protection/>
    </xf>
    <xf numFmtId="0" fontId="31" fillId="0" borderId="16" xfId="100" applyFont="1" applyFill="1" applyBorder="1" applyAlignment="1" applyProtection="1">
      <alignment vertical="center"/>
      <protection/>
    </xf>
    <xf numFmtId="0" fontId="31" fillId="0" borderId="0" xfId="100" applyFont="1" applyAlignment="1" applyProtection="1">
      <alignment vertical="center"/>
      <protection/>
    </xf>
    <xf numFmtId="0" fontId="31" fillId="0" borderId="0" xfId="100" applyFont="1" applyFill="1" applyBorder="1" applyAlignment="1" applyProtection="1">
      <alignment horizontal="center" vertical="center"/>
      <protection/>
    </xf>
    <xf numFmtId="0" fontId="29" fillId="0" borderId="9" xfId="100" applyFont="1" applyBorder="1" applyAlignment="1" applyProtection="1">
      <alignment horizontal="center" vertical="center"/>
      <protection/>
    </xf>
    <xf numFmtId="0" fontId="29" fillId="0" borderId="9" xfId="100" applyFont="1" applyBorder="1" applyAlignment="1" applyProtection="1">
      <alignment vertical="center"/>
      <protection/>
    </xf>
    <xf numFmtId="0" fontId="29" fillId="0" borderId="9" xfId="100" applyFont="1" applyBorder="1" applyAlignment="1" applyProtection="1">
      <alignment horizontal="center" vertical="center" wrapText="1"/>
      <protection/>
    </xf>
    <xf numFmtId="0" fontId="42" fillId="0" borderId="0" xfId="100" applyFont="1" applyAlignment="1" applyProtection="1">
      <alignment vertical="center"/>
      <protection/>
    </xf>
    <xf numFmtId="0" fontId="18" fillId="0" borderId="0" xfId="100" applyFont="1" applyAlignment="1" applyProtection="1">
      <alignment horizontal="left" vertical="center"/>
      <protection/>
    </xf>
    <xf numFmtId="0" fontId="10" fillId="0" borderId="0" xfId="100" applyFont="1" applyAlignment="1" applyProtection="1">
      <alignment vertical="center"/>
      <protection/>
    </xf>
    <xf numFmtId="0" fontId="31" fillId="0" borderId="9" xfId="100" applyFont="1" applyBorder="1" applyAlignment="1" applyProtection="1">
      <alignment horizontal="center" vertical="center"/>
      <protection/>
    </xf>
    <xf numFmtId="0" fontId="31" fillId="0" borderId="9" xfId="100" applyFont="1" applyBorder="1" applyAlignment="1" applyProtection="1">
      <alignment vertical="center"/>
      <protection/>
    </xf>
    <xf numFmtId="4" fontId="31" fillId="0" borderId="9" xfId="100" applyNumberFormat="1" applyFont="1" applyBorder="1" applyAlignment="1" applyProtection="1">
      <alignment horizontal="center" vertical="center"/>
      <protection/>
    </xf>
    <xf numFmtId="0" fontId="41" fillId="0" borderId="0" xfId="105" applyFont="1" applyAlignment="1" applyProtection="1">
      <alignment vertical="center"/>
      <protection/>
    </xf>
    <xf numFmtId="0" fontId="31" fillId="0" borderId="0" xfId="100" applyFont="1" applyBorder="1" applyAlignment="1" applyProtection="1">
      <alignment vertical="center"/>
      <protection/>
    </xf>
    <xf numFmtId="0" fontId="31" fillId="0" borderId="9" xfId="100" applyFont="1" applyBorder="1" applyAlignment="1" applyProtection="1">
      <alignment vertical="center" wrapText="1"/>
      <protection/>
    </xf>
    <xf numFmtId="2" fontId="29" fillId="0" borderId="9" xfId="100" applyNumberFormat="1" applyFont="1" applyBorder="1" applyAlignment="1" applyProtection="1">
      <alignment horizontal="center" vertical="center" wrapText="1"/>
      <protection/>
    </xf>
    <xf numFmtId="0" fontId="29" fillId="0" borderId="9" xfId="100" applyFont="1" applyBorder="1" applyAlignment="1" applyProtection="1">
      <alignment vertical="center" wrapText="1"/>
      <protection/>
    </xf>
    <xf numFmtId="0" fontId="123" fillId="0" borderId="0" xfId="100" applyFont="1" applyFill="1" applyBorder="1" applyAlignment="1" applyProtection="1">
      <alignment vertical="center"/>
      <protection/>
    </xf>
    <xf numFmtId="0" fontId="29" fillId="0" borderId="0" xfId="100" applyFont="1" applyFill="1" applyBorder="1" applyAlignment="1" applyProtection="1">
      <alignment vertical="center" wrapText="1"/>
      <protection/>
    </xf>
    <xf numFmtId="0" fontId="123" fillId="0" borderId="0" xfId="100" applyFont="1" applyAlignment="1" applyProtection="1">
      <alignment vertical="center"/>
      <protection/>
    </xf>
    <xf numFmtId="0" fontId="31" fillId="0" borderId="17" xfId="100" applyFont="1" applyFill="1" applyBorder="1" applyAlignment="1" applyProtection="1">
      <alignment horizontal="center" vertical="center"/>
      <protection/>
    </xf>
    <xf numFmtId="0" fontId="123" fillId="0" borderId="0" xfId="100" applyFont="1" applyBorder="1" applyAlignment="1" applyProtection="1">
      <alignment vertical="center"/>
      <protection/>
    </xf>
    <xf numFmtId="0" fontId="32" fillId="0" borderId="0" xfId="100" applyFont="1" applyBorder="1" applyAlignment="1" applyProtection="1">
      <alignment vertical="center"/>
      <protection/>
    </xf>
    <xf numFmtId="0" fontId="123" fillId="0" borderId="25" xfId="0" applyFont="1" applyFill="1" applyBorder="1" applyAlignment="1" applyProtection="1">
      <alignment horizontal="center" vertical="center" wrapText="1"/>
      <protection/>
    </xf>
    <xf numFmtId="0" fontId="123" fillId="0" borderId="9" xfId="0" applyFont="1" applyFill="1" applyBorder="1" applyAlignment="1" applyProtection="1">
      <alignment horizontal="center" vertical="center" wrapText="1"/>
      <protection/>
    </xf>
    <xf numFmtId="49" fontId="41" fillId="0" borderId="0" xfId="105" applyNumberFormat="1" applyFont="1" applyBorder="1" applyAlignment="1" applyProtection="1">
      <alignment horizontal="left" vertical="center" wrapText="1"/>
      <protection/>
    </xf>
    <xf numFmtId="0" fontId="41" fillId="0" borderId="0" xfId="105" applyFont="1" applyBorder="1" applyAlignment="1" applyProtection="1">
      <alignment vertical="center" wrapText="1"/>
      <protection/>
    </xf>
    <xf numFmtId="2" fontId="41" fillId="0" borderId="0" xfId="105" applyNumberFormat="1" applyFont="1" applyBorder="1" applyAlignment="1" applyProtection="1">
      <alignment horizontal="center" vertical="center"/>
      <protection/>
    </xf>
    <xf numFmtId="0" fontId="123" fillId="0" borderId="0" xfId="0" applyFont="1" applyAlignment="1" applyProtection="1">
      <alignment horizontal="left" vertical="center"/>
      <protection/>
    </xf>
    <xf numFmtId="4" fontId="123" fillId="36" borderId="9" xfId="0" applyNumberFormat="1" applyFont="1" applyFill="1" applyBorder="1" applyAlignment="1" applyProtection="1">
      <alignment horizontal="center" vertical="center"/>
      <protection locked="0"/>
    </xf>
    <xf numFmtId="4" fontId="123" fillId="36" borderId="9" xfId="128" applyNumberFormat="1" applyFont="1" applyFill="1" applyBorder="1" applyAlignment="1" applyProtection="1">
      <alignment horizontal="center" vertical="center"/>
      <protection locked="0"/>
    </xf>
    <xf numFmtId="4" fontId="41" fillId="36" borderId="25" xfId="100" applyNumberFormat="1" applyFont="1" applyFill="1" applyBorder="1" applyAlignment="1" applyProtection="1">
      <alignment horizontal="center" vertical="center" wrapText="1"/>
      <protection locked="0"/>
    </xf>
    <xf numFmtId="4" fontId="41" fillId="36" borderId="9" xfId="100" applyNumberFormat="1" applyFont="1" applyFill="1" applyBorder="1" applyAlignment="1" applyProtection="1">
      <alignment horizontal="center" vertical="center" wrapText="1"/>
      <protection locked="0"/>
    </xf>
    <xf numFmtId="0" fontId="129" fillId="0" borderId="9" xfId="118" applyFont="1" applyBorder="1" applyAlignment="1" applyProtection="1">
      <alignment horizontal="center" vertical="center" wrapText="1"/>
      <protection/>
    </xf>
    <xf numFmtId="0" fontId="129" fillId="0" borderId="25" xfId="118" applyFont="1" applyBorder="1" applyAlignment="1" applyProtection="1">
      <alignment horizontal="center" vertical="center" wrapText="1"/>
      <protection/>
    </xf>
    <xf numFmtId="0" fontId="33" fillId="41" borderId="0" xfId="116" applyFont="1" applyFill="1" applyBorder="1" applyAlignment="1" applyProtection="1">
      <alignment horizontal="right" vertical="center" wrapText="1"/>
      <protection/>
    </xf>
    <xf numFmtId="0" fontId="0" fillId="0" borderId="9" xfId="100" applyFont="1" applyFill="1" applyBorder="1" applyAlignment="1" applyProtection="1">
      <alignment horizontal="center" vertical="center" wrapText="1"/>
      <protection/>
    </xf>
    <xf numFmtId="0" fontId="123" fillId="0" borderId="9" xfId="0" applyFont="1" applyBorder="1" applyAlignment="1">
      <alignment horizontal="center" vertical="center" wrapText="1"/>
    </xf>
    <xf numFmtId="0" fontId="2" fillId="0" borderId="0" xfId="100" applyAlignment="1" applyProtection="1">
      <alignment vertical="center"/>
      <protection/>
    </xf>
    <xf numFmtId="0" fontId="3" fillId="0" borderId="0" xfId="100" applyFont="1" applyBorder="1" applyAlignment="1" applyProtection="1">
      <alignment horizontal="center" vertical="center" wrapText="1"/>
      <protection/>
    </xf>
    <xf numFmtId="2" fontId="3" fillId="0" borderId="0" xfId="100" applyNumberFormat="1" applyFont="1" applyAlignment="1" applyProtection="1">
      <alignment vertical="center"/>
      <protection/>
    </xf>
    <xf numFmtId="49" fontId="34" fillId="36" borderId="9" xfId="100" applyNumberFormat="1" applyFont="1" applyFill="1" applyBorder="1" applyAlignment="1" applyProtection="1">
      <alignment horizontal="center" vertical="center" wrapText="1"/>
      <protection locked="0"/>
    </xf>
    <xf numFmtId="4" fontId="124" fillId="42" borderId="9" xfId="0" applyNumberFormat="1" applyFont="1" applyFill="1" applyBorder="1" applyAlignment="1">
      <alignment horizontal="center" vertical="center"/>
    </xf>
    <xf numFmtId="4" fontId="124" fillId="0" borderId="9" xfId="0" applyNumberFormat="1" applyFont="1" applyFill="1" applyBorder="1" applyAlignment="1">
      <alignment horizontal="center" vertical="center" wrapText="1"/>
    </xf>
    <xf numFmtId="0" fontId="62" fillId="0" borderId="41" xfId="100" applyFont="1" applyFill="1" applyBorder="1" applyAlignment="1" applyProtection="1">
      <alignment horizontal="center" vertical="center"/>
      <protection/>
    </xf>
    <xf numFmtId="4" fontId="29" fillId="0" borderId="62" xfId="100" applyNumberFormat="1" applyFont="1" applyFill="1" applyBorder="1" applyAlignment="1" applyProtection="1">
      <alignment horizontal="center" vertical="center"/>
      <protection/>
    </xf>
    <xf numFmtId="4" fontId="29" fillId="0" borderId="18" xfId="100" applyNumberFormat="1" applyFont="1" applyFill="1" applyBorder="1" applyAlignment="1" applyProtection="1">
      <alignment horizontal="center" vertical="center"/>
      <protection/>
    </xf>
    <xf numFmtId="0" fontId="68" fillId="0" borderId="0" xfId="105" applyFont="1" applyFill="1" applyBorder="1" applyAlignment="1" applyProtection="1">
      <alignment horizontal="left" vertical="center"/>
      <protection/>
    </xf>
    <xf numFmtId="0" fontId="74" fillId="0" borderId="16" xfId="100" applyFont="1" applyFill="1" applyBorder="1" applyAlignment="1" applyProtection="1">
      <alignment horizontal="left" vertical="center"/>
      <protection/>
    </xf>
    <xf numFmtId="49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7" fillId="0" borderId="39" xfId="0" applyFont="1" applyBorder="1" applyAlignment="1" applyProtection="1">
      <alignment horizontal="center" vertical="center" wrapText="1"/>
      <protection/>
    </xf>
    <xf numFmtId="0" fontId="17" fillId="0" borderId="31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49" fontId="9" fillId="0" borderId="80" xfId="0" applyNumberFormat="1" applyFont="1" applyBorder="1" applyAlignment="1" applyProtection="1">
      <alignment horizontal="center" vertical="center" wrapText="1"/>
      <protection/>
    </xf>
    <xf numFmtId="0" fontId="9" fillId="0" borderId="80" xfId="0" applyFont="1" applyBorder="1" applyAlignment="1" applyProtection="1">
      <alignment horizontal="center" vertical="center" wrapText="1"/>
      <protection/>
    </xf>
    <xf numFmtId="4" fontId="10" fillId="0" borderId="38" xfId="0" applyNumberFormat="1" applyFont="1" applyFill="1" applyBorder="1" applyAlignment="1" applyProtection="1">
      <alignment horizontal="center" vertical="center" wrapText="1"/>
      <protection/>
    </xf>
    <xf numFmtId="4" fontId="10" fillId="0" borderId="53" xfId="0" applyNumberFormat="1" applyFont="1" applyFill="1" applyBorder="1" applyAlignment="1" applyProtection="1">
      <alignment horizontal="center" vertical="center" wrapText="1"/>
      <protection/>
    </xf>
    <xf numFmtId="4" fontId="10" fillId="0" borderId="51" xfId="0" applyNumberFormat="1" applyFont="1" applyFill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77" xfId="0" applyNumberFormat="1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4" fontId="10" fillId="0" borderId="25" xfId="0" applyNumberFormat="1" applyFont="1" applyFill="1" applyBorder="1" applyAlignment="1" applyProtection="1">
      <alignment horizontal="center" vertical="center" wrapText="1"/>
      <protection/>
    </xf>
    <xf numFmtId="4" fontId="10" fillId="0" borderId="40" xfId="0" applyNumberFormat="1" applyFont="1" applyFill="1" applyBorder="1" applyAlignment="1" applyProtection="1">
      <alignment horizontal="center" vertical="center" wrapText="1"/>
      <protection/>
    </xf>
    <xf numFmtId="4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24" xfId="0" applyNumberFormat="1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49" fontId="10" fillId="0" borderId="72" xfId="0" applyNumberFormat="1" applyFont="1" applyBorder="1" applyAlignment="1" applyProtection="1">
      <alignment horizontal="center" vertical="center" wrapText="1"/>
      <protection/>
    </xf>
    <xf numFmtId="0" fontId="10" fillId="0" borderId="72" xfId="0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 inden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49" fontId="17" fillId="0" borderId="73" xfId="0" applyNumberFormat="1" applyFont="1" applyBorder="1" applyAlignment="1" applyProtection="1">
      <alignment horizontal="center" vertical="center" wrapText="1"/>
      <protection/>
    </xf>
    <xf numFmtId="0" fontId="18" fillId="0" borderId="73" xfId="0" applyFont="1" applyBorder="1" applyAlignment="1" applyProtection="1">
      <alignment horizontal="center" vertical="center" wrapText="1"/>
      <protection/>
    </xf>
    <xf numFmtId="0" fontId="19" fillId="0" borderId="80" xfId="0" applyFont="1" applyBorder="1" applyAlignment="1" applyProtection="1">
      <alignment horizontal="center" vertical="center" wrapText="1"/>
      <protection/>
    </xf>
    <xf numFmtId="9" fontId="19" fillId="0" borderId="80" xfId="127" applyFont="1" applyBorder="1" applyAlignment="1" applyProtection="1">
      <alignment horizontal="center" vertical="center" wrapText="1"/>
      <protection/>
    </xf>
    <xf numFmtId="4" fontId="10" fillId="0" borderId="24" xfId="127" applyNumberFormat="1" applyFont="1" applyFill="1" applyBorder="1" applyAlignment="1" applyProtection="1">
      <alignment horizontal="center" vertical="center" wrapText="1"/>
      <protection/>
    </xf>
    <xf numFmtId="4" fontId="10" fillId="0" borderId="24" xfId="0" applyNumberFormat="1" applyFont="1" applyBorder="1" applyAlignment="1" applyProtection="1">
      <alignment horizontal="center" vertical="center" wrapText="1"/>
      <protection/>
    </xf>
    <xf numFmtId="4" fontId="19" fillId="0" borderId="24" xfId="127" applyNumberFormat="1" applyFont="1" applyBorder="1" applyAlignment="1" applyProtection="1">
      <alignment horizontal="center" vertical="center" wrapText="1"/>
      <protection/>
    </xf>
    <xf numFmtId="49" fontId="9" fillId="0" borderId="72" xfId="0" applyNumberFormat="1" applyFont="1" applyBorder="1" applyAlignment="1" applyProtection="1">
      <alignment horizontal="center" vertical="center" wrapText="1"/>
      <protection/>
    </xf>
    <xf numFmtId="4" fontId="10" fillId="0" borderId="72" xfId="0" applyNumberFormat="1" applyFont="1" applyBorder="1" applyAlignment="1" applyProtection="1">
      <alignment horizontal="center" vertical="center" wrapText="1"/>
      <protection/>
    </xf>
    <xf numFmtId="4" fontId="10" fillId="0" borderId="72" xfId="127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 indent="1"/>
      <protection/>
    </xf>
    <xf numFmtId="2" fontId="10" fillId="0" borderId="0" xfId="0" applyNumberFormat="1" applyFont="1" applyBorder="1" applyAlignment="1" applyProtection="1">
      <alignment horizontal="center" vertical="center" wrapText="1"/>
      <protection/>
    </xf>
    <xf numFmtId="2" fontId="10" fillId="0" borderId="0" xfId="127" applyNumberFormat="1" applyFont="1" applyBorder="1" applyAlignment="1" applyProtection="1">
      <alignment horizontal="center" vertical="center" wrapText="1"/>
      <protection/>
    </xf>
    <xf numFmtId="49" fontId="9" fillId="0" borderId="90" xfId="0" applyNumberFormat="1" applyFont="1" applyBorder="1" applyAlignment="1" applyProtection="1">
      <alignment horizontal="center" vertical="center" wrapText="1"/>
      <protection/>
    </xf>
    <xf numFmtId="0" fontId="10" fillId="0" borderId="90" xfId="0" applyFont="1" applyBorder="1" applyAlignment="1" applyProtection="1">
      <alignment horizontal="center" vertical="center" wrapText="1"/>
      <protection/>
    </xf>
    <xf numFmtId="0" fontId="20" fillId="41" borderId="0" xfId="0" applyFont="1" applyFill="1" applyBorder="1" applyAlignment="1" applyProtection="1">
      <alignment horizontal="center" vertical="center" wrapText="1"/>
      <protection/>
    </xf>
    <xf numFmtId="4" fontId="10" fillId="36" borderId="25" xfId="0" applyNumberFormat="1" applyFont="1" applyFill="1" applyBorder="1" applyAlignment="1" applyProtection="1">
      <alignment horizontal="center" vertical="center" wrapText="1"/>
      <protection locked="0"/>
    </xf>
    <xf numFmtId="4" fontId="10" fillId="36" borderId="40" xfId="0" applyNumberFormat="1" applyFont="1" applyFill="1" applyBorder="1" applyAlignment="1" applyProtection="1">
      <alignment horizontal="center" vertical="center" wrapText="1"/>
      <protection locked="0"/>
    </xf>
    <xf numFmtId="4" fontId="1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121" fillId="0" borderId="0" xfId="0" applyFont="1" applyAlignment="1">
      <alignment/>
    </xf>
    <xf numFmtId="0" fontId="28" fillId="36" borderId="19" xfId="115" applyFont="1" applyFill="1" applyBorder="1" applyAlignment="1" applyProtection="1">
      <alignment horizontal="center" vertical="center" wrapText="1"/>
      <protection locked="0"/>
    </xf>
    <xf numFmtId="49" fontId="3" fillId="36" borderId="19" xfId="115" applyNumberFormat="1" applyFont="1" applyFill="1" applyBorder="1" applyAlignment="1" applyProtection="1">
      <alignment horizontal="center" vertical="center" wrapText="1"/>
      <protection locked="0"/>
    </xf>
    <xf numFmtId="4" fontId="3" fillId="36" borderId="19" xfId="115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0" fontId="123" fillId="0" borderId="9" xfId="0" applyFont="1" applyFill="1" applyBorder="1" applyAlignment="1">
      <alignment horizontal="center" vertical="center"/>
    </xf>
    <xf numFmtId="0" fontId="0" fillId="4" borderId="9" xfId="115" applyFont="1" applyFill="1" applyBorder="1" applyAlignment="1" applyProtection="1">
      <alignment horizontal="right" vertical="center" wrapText="1" indent="1"/>
      <protection/>
    </xf>
    <xf numFmtId="0" fontId="3" fillId="10" borderId="92" xfId="115" applyNumberFormat="1" applyFont="1" applyFill="1" applyBorder="1" applyAlignment="1" applyProtection="1">
      <alignment horizontal="center" vertical="center"/>
      <protection/>
    </xf>
    <xf numFmtId="49" fontId="123" fillId="0" borderId="9" xfId="0" applyNumberFormat="1" applyFont="1" applyFill="1" applyBorder="1" applyAlignment="1">
      <alignment horizontal="center" vertical="center"/>
    </xf>
    <xf numFmtId="0" fontId="123" fillId="4" borderId="9" xfId="0" applyFont="1" applyFill="1" applyBorder="1" applyAlignment="1">
      <alignment horizontal="center" vertical="center"/>
    </xf>
    <xf numFmtId="0" fontId="0" fillId="0" borderId="81" xfId="0" applyBorder="1" applyAlignment="1">
      <alignment/>
    </xf>
    <xf numFmtId="0" fontId="28" fillId="0" borderId="19" xfId="115" applyFont="1" applyFill="1" applyBorder="1" applyAlignment="1" applyProtection="1">
      <alignment horizontal="center" vertical="center"/>
      <protection/>
    </xf>
    <xf numFmtId="2" fontId="3" fillId="0" borderId="19" xfId="115" applyNumberFormat="1" applyFont="1" applyFill="1" applyBorder="1" applyAlignment="1" applyProtection="1">
      <alignment horizontal="center" vertical="center" wrapText="1"/>
      <protection/>
    </xf>
    <xf numFmtId="0" fontId="0" fillId="51" borderId="0" xfId="0" applyFill="1" applyAlignment="1">
      <alignment horizontal="center"/>
    </xf>
    <xf numFmtId="0" fontId="75" fillId="0" borderId="17" xfId="105" applyFont="1" applyFill="1" applyBorder="1" applyAlignment="1" applyProtection="1">
      <alignment horizontal="left" vertical="center"/>
      <protection/>
    </xf>
    <xf numFmtId="4" fontId="130" fillId="0" borderId="14" xfId="100" applyNumberFormat="1" applyFont="1" applyFill="1" applyBorder="1" applyAlignment="1" applyProtection="1">
      <alignment horizontal="center" vertical="center" wrapText="1"/>
      <protection/>
    </xf>
    <xf numFmtId="4" fontId="130" fillId="0" borderId="51" xfId="100" applyNumberFormat="1" applyFont="1" applyFill="1" applyBorder="1" applyAlignment="1" applyProtection="1">
      <alignment horizontal="center" vertical="center" wrapText="1"/>
      <protection/>
    </xf>
    <xf numFmtId="4" fontId="130" fillId="0" borderId="14" xfId="100" applyNumberFormat="1" applyFont="1" applyFill="1" applyBorder="1" applyAlignment="1" applyProtection="1">
      <alignment horizontal="center" vertical="center"/>
      <protection/>
    </xf>
    <xf numFmtId="4" fontId="130" fillId="0" borderId="50" xfId="100" applyNumberFormat="1" applyFont="1" applyFill="1" applyBorder="1" applyAlignment="1" applyProtection="1">
      <alignment horizontal="center" vertical="center" wrapText="1"/>
      <protection/>
    </xf>
    <xf numFmtId="4" fontId="131" fillId="0" borderId="34" xfId="100" applyNumberFormat="1" applyFont="1" applyFill="1" applyBorder="1" applyAlignment="1" applyProtection="1">
      <alignment horizontal="center" vertical="center" wrapText="1"/>
      <protection/>
    </xf>
    <xf numFmtId="4" fontId="130" fillId="0" borderId="50" xfId="100" applyNumberFormat="1" applyFont="1" applyFill="1" applyBorder="1" applyAlignment="1" applyProtection="1">
      <alignment horizontal="center" vertical="center"/>
      <protection/>
    </xf>
    <xf numFmtId="4" fontId="130" fillId="0" borderId="40" xfId="100" applyNumberFormat="1" applyFont="1" applyFill="1" applyBorder="1" applyAlignment="1" applyProtection="1">
      <alignment horizontal="center" vertical="center" wrapText="1"/>
      <protection/>
    </xf>
    <xf numFmtId="4" fontId="29" fillId="0" borderId="58" xfId="100" applyNumberFormat="1" applyFont="1" applyFill="1" applyBorder="1" applyAlignment="1" applyProtection="1">
      <alignment horizontal="center" vertical="center" wrapText="1"/>
      <protection/>
    </xf>
    <xf numFmtId="4" fontId="29" fillId="36" borderId="54" xfId="100" applyNumberFormat="1" applyFont="1" applyFill="1" applyBorder="1" applyAlignment="1" applyProtection="1">
      <alignment horizontal="center" vertical="center"/>
      <protection locked="0"/>
    </xf>
    <xf numFmtId="4" fontId="29" fillId="36" borderId="53" xfId="100" applyNumberFormat="1" applyFont="1" applyFill="1" applyBorder="1" applyAlignment="1" applyProtection="1">
      <alignment horizontal="center" vertical="center"/>
      <protection locked="0"/>
    </xf>
    <xf numFmtId="4" fontId="29" fillId="36" borderId="53" xfId="100" applyNumberFormat="1" applyFont="1" applyFill="1" applyBorder="1" applyAlignment="1" applyProtection="1">
      <alignment horizontal="center" vertical="center" wrapText="1"/>
      <protection locked="0"/>
    </xf>
    <xf numFmtId="4" fontId="31" fillId="36" borderId="44" xfId="100" applyNumberFormat="1" applyFont="1" applyFill="1" applyBorder="1" applyAlignment="1" applyProtection="1">
      <alignment horizontal="center" vertical="center" wrapText="1"/>
      <protection locked="0"/>
    </xf>
    <xf numFmtId="4" fontId="29" fillId="36" borderId="52" xfId="100" applyNumberFormat="1" applyFont="1" applyFill="1" applyBorder="1" applyAlignment="1" applyProtection="1">
      <alignment horizontal="center" vertical="center"/>
      <protection locked="0"/>
    </xf>
    <xf numFmtId="0" fontId="29" fillId="0" borderId="0" xfId="98" applyFont="1" applyFill="1" applyBorder="1" applyAlignment="1" applyProtection="1">
      <alignment wrapText="1"/>
      <protection/>
    </xf>
    <xf numFmtId="0" fontId="29" fillId="0" borderId="0" xfId="98" applyFont="1" applyFill="1" applyAlignment="1" applyProtection="1">
      <alignment horizontal="center" vertical="center"/>
      <protection/>
    </xf>
    <xf numFmtId="0" fontId="29" fillId="0" borderId="0" xfId="100" applyFont="1" applyFill="1" applyAlignment="1" applyProtection="1">
      <alignment vertical="center"/>
      <protection/>
    </xf>
    <xf numFmtId="0" fontId="29" fillId="0" borderId="0" xfId="98" applyFont="1" applyFill="1" applyProtection="1">
      <alignment/>
      <protection/>
    </xf>
    <xf numFmtId="0" fontId="29" fillId="0" borderId="83" xfId="98" applyFont="1" applyFill="1" applyBorder="1" applyAlignment="1" applyProtection="1">
      <alignment vertical="top"/>
      <protection/>
    </xf>
    <xf numFmtId="0" fontId="29" fillId="36" borderId="83" xfId="98" applyFont="1" applyFill="1" applyBorder="1" applyAlignment="1" applyProtection="1">
      <alignment vertical="top"/>
      <protection locked="0"/>
    </xf>
    <xf numFmtId="0" fontId="123" fillId="0" borderId="18" xfId="0" applyFont="1" applyBorder="1" applyAlignment="1">
      <alignment vertical="center"/>
    </xf>
    <xf numFmtId="0" fontId="123" fillId="0" borderId="18" xfId="0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/>
    </xf>
    <xf numFmtId="49" fontId="12" fillId="0" borderId="59" xfId="115" applyNumberFormat="1" applyFont="1" applyFill="1" applyBorder="1" applyAlignment="1" applyProtection="1">
      <alignment horizontal="center" vertical="center" wrapText="1"/>
      <protection/>
    </xf>
    <xf numFmtId="2" fontId="123" fillId="0" borderId="18" xfId="0" applyNumberFormat="1" applyFont="1" applyFill="1" applyBorder="1" applyAlignment="1">
      <alignment horizontal="center" vertical="center"/>
    </xf>
    <xf numFmtId="4" fontId="130" fillId="41" borderId="14" xfId="100" applyNumberFormat="1" applyFont="1" applyFill="1" applyBorder="1" applyAlignment="1" applyProtection="1">
      <alignment horizontal="center" vertical="center" wrapText="1"/>
      <protection/>
    </xf>
    <xf numFmtId="0" fontId="123" fillId="36" borderId="9" xfId="0" applyFont="1" applyFill="1" applyBorder="1" applyAlignment="1" applyProtection="1">
      <alignment horizontal="center" vertical="center"/>
      <protection locked="0"/>
    </xf>
    <xf numFmtId="0" fontId="123" fillId="36" borderId="9" xfId="0" applyFont="1" applyFill="1" applyBorder="1" applyAlignment="1" applyProtection="1">
      <alignment vertical="center" wrapText="1"/>
      <protection locked="0"/>
    </xf>
    <xf numFmtId="0" fontId="31" fillId="0" borderId="88" xfId="100" applyFont="1" applyFill="1" applyBorder="1" applyAlignment="1" applyProtection="1">
      <alignment horizontal="left" vertical="center" wrapText="1" indent="1"/>
      <protection/>
    </xf>
    <xf numFmtId="49" fontId="29" fillId="0" borderId="72" xfId="113" applyNumberFormat="1" applyFont="1" applyFill="1" applyBorder="1" applyAlignment="1" applyProtection="1">
      <alignment horizontal="center" vertical="center" wrapText="1"/>
      <protection/>
    </xf>
    <xf numFmtId="4" fontId="10" fillId="36" borderId="40" xfId="0" applyNumberFormat="1" applyFont="1" applyFill="1" applyBorder="1" applyAlignment="1" applyProtection="1" quotePrefix="1">
      <alignment horizontal="center" vertical="center" wrapText="1"/>
      <protection locked="0"/>
    </xf>
    <xf numFmtId="0" fontId="71" fillId="0" borderId="0" xfId="100" applyFont="1" applyFill="1" applyAlignment="1" applyProtection="1">
      <alignment vertical="center"/>
      <protection/>
    </xf>
    <xf numFmtId="4" fontId="31" fillId="0" borderId="69" xfId="100" applyNumberFormat="1" applyFont="1" applyFill="1" applyBorder="1" applyAlignment="1" applyProtection="1">
      <alignment horizontal="center" vertical="center"/>
      <protection/>
    </xf>
    <xf numFmtId="4" fontId="31" fillId="0" borderId="43" xfId="100" applyNumberFormat="1" applyFont="1" applyFill="1" applyBorder="1" applyAlignment="1" applyProtection="1">
      <alignment horizontal="center" vertical="center"/>
      <protection/>
    </xf>
    <xf numFmtId="4" fontId="31" fillId="0" borderId="42" xfId="100" applyNumberFormat="1" applyFont="1" applyFill="1" applyBorder="1" applyAlignment="1" applyProtection="1">
      <alignment horizontal="center" vertical="center"/>
      <protection/>
    </xf>
    <xf numFmtId="4" fontId="31" fillId="0" borderId="93" xfId="100" applyNumberFormat="1" applyFont="1" applyFill="1" applyBorder="1" applyAlignment="1" applyProtection="1">
      <alignment horizontal="center" vertical="center"/>
      <protection/>
    </xf>
    <xf numFmtId="4" fontId="31" fillId="0" borderId="60" xfId="100" applyNumberFormat="1" applyFont="1" applyFill="1" applyBorder="1" applyAlignment="1" applyProtection="1">
      <alignment horizontal="center" vertical="center"/>
      <protection/>
    </xf>
    <xf numFmtId="4" fontId="31" fillId="0" borderId="61" xfId="100" applyNumberFormat="1" applyFont="1" applyFill="1" applyBorder="1" applyAlignment="1" applyProtection="1">
      <alignment horizontal="center" vertical="center"/>
      <protection/>
    </xf>
    <xf numFmtId="4" fontId="31" fillId="0" borderId="61" xfId="100" applyNumberFormat="1" applyFont="1" applyFill="1" applyBorder="1" applyAlignment="1" applyProtection="1">
      <alignment horizontal="center" vertical="center" wrapText="1"/>
      <protection/>
    </xf>
    <xf numFmtId="4" fontId="31" fillId="0" borderId="94" xfId="100" applyNumberFormat="1" applyFont="1" applyFill="1" applyBorder="1" applyAlignment="1" applyProtection="1">
      <alignment horizontal="center" vertical="center"/>
      <protection/>
    </xf>
    <xf numFmtId="4" fontId="31" fillId="0" borderId="0" xfId="100" applyNumberFormat="1" applyFont="1" applyFill="1" applyBorder="1" applyAlignment="1" applyProtection="1">
      <alignment horizontal="center" vertical="center"/>
      <protection/>
    </xf>
    <xf numFmtId="0" fontId="71" fillId="41" borderId="0" xfId="100" applyFont="1" applyFill="1" applyAlignment="1" applyProtection="1">
      <alignment vertical="center"/>
      <protection/>
    </xf>
    <xf numFmtId="0" fontId="31" fillId="41" borderId="82" xfId="100" applyFont="1" applyFill="1" applyBorder="1" applyAlignment="1" applyProtection="1">
      <alignment horizontal="center" vertical="center"/>
      <protection/>
    </xf>
    <xf numFmtId="4" fontId="31" fillId="36" borderId="31" xfId="100" applyNumberFormat="1" applyFont="1" applyFill="1" applyBorder="1" applyAlignment="1" applyProtection="1">
      <alignment horizontal="center" vertical="center"/>
      <protection locked="0"/>
    </xf>
    <xf numFmtId="4" fontId="31" fillId="36" borderId="28" xfId="100" applyNumberFormat="1" applyFont="1" applyFill="1" applyBorder="1" applyAlignment="1" applyProtection="1">
      <alignment horizontal="center" vertical="center" wrapText="1"/>
      <protection locked="0"/>
    </xf>
    <xf numFmtId="4" fontId="31" fillId="36" borderId="31" xfId="100" applyNumberFormat="1" applyFont="1" applyFill="1" applyBorder="1" applyAlignment="1" applyProtection="1">
      <alignment horizontal="center" vertical="center" wrapText="1"/>
      <protection locked="0"/>
    </xf>
    <xf numFmtId="4" fontId="31" fillId="41" borderId="29" xfId="100" applyNumberFormat="1" applyFont="1" applyFill="1" applyBorder="1" applyAlignment="1" applyProtection="1">
      <alignment horizontal="center" vertical="center" wrapText="1"/>
      <protection/>
    </xf>
    <xf numFmtId="0" fontId="31" fillId="0" borderId="76" xfId="100" applyFont="1" applyFill="1" applyBorder="1" applyAlignment="1" applyProtection="1">
      <alignment horizontal="center" vertical="center"/>
      <protection/>
    </xf>
    <xf numFmtId="4" fontId="31" fillId="0" borderId="56" xfId="100" applyNumberFormat="1" applyFont="1" applyFill="1" applyBorder="1" applyAlignment="1" applyProtection="1">
      <alignment horizontal="center" vertical="center"/>
      <protection/>
    </xf>
    <xf numFmtId="4" fontId="31" fillId="0" borderId="55" xfId="100" applyNumberFormat="1" applyFont="1" applyFill="1" applyBorder="1" applyAlignment="1" applyProtection="1">
      <alignment horizontal="center" vertical="center"/>
      <protection/>
    </xf>
    <xf numFmtId="4" fontId="31" fillId="0" borderId="23" xfId="100" applyNumberFormat="1" applyFont="1" applyFill="1" applyBorder="1" applyAlignment="1" applyProtection="1">
      <alignment horizontal="center" vertical="center" wrapText="1"/>
      <protection/>
    </xf>
    <xf numFmtId="4" fontId="29" fillId="36" borderId="65" xfId="100" applyNumberFormat="1" applyFont="1" applyFill="1" applyBorder="1" applyAlignment="1" applyProtection="1">
      <alignment horizontal="center" vertical="center"/>
      <protection locked="0"/>
    </xf>
    <xf numFmtId="4" fontId="130" fillId="0" borderId="56" xfId="10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4" fontId="3" fillId="38" borderId="9" xfId="100" applyNumberFormat="1" applyFont="1" applyFill="1" applyBorder="1" applyAlignment="1" applyProtection="1">
      <alignment horizontal="center" vertical="center"/>
      <protection/>
    </xf>
    <xf numFmtId="49" fontId="3" fillId="36" borderId="9" xfId="100" applyNumberFormat="1" applyFont="1" applyFill="1" applyBorder="1" applyAlignment="1" applyProtection="1">
      <alignment horizontal="left" vertical="center" wrapText="1"/>
      <protection locked="0"/>
    </xf>
    <xf numFmtId="0" fontId="31" fillId="44" borderId="8" xfId="98" applyFont="1" applyFill="1" applyBorder="1" applyAlignment="1" applyProtection="1">
      <alignment horizontal="center" vertical="center"/>
      <protection/>
    </xf>
    <xf numFmtId="0" fontId="31" fillId="44" borderId="21" xfId="98" applyFont="1" applyFill="1" applyBorder="1" applyAlignment="1" applyProtection="1">
      <alignment vertical="center" wrapText="1"/>
      <protection/>
    </xf>
    <xf numFmtId="0" fontId="31" fillId="44" borderId="14" xfId="98" applyFont="1" applyFill="1" applyBorder="1" applyAlignment="1" applyProtection="1">
      <alignment horizontal="center" vertical="center"/>
      <protection/>
    </xf>
    <xf numFmtId="0" fontId="31" fillId="44" borderId="9" xfId="98" applyFont="1" applyFill="1" applyBorder="1" applyAlignment="1" applyProtection="1">
      <alignment vertical="center" wrapText="1"/>
      <protection/>
    </xf>
    <xf numFmtId="0" fontId="31" fillId="44" borderId="9" xfId="98" applyFont="1" applyFill="1" applyBorder="1" applyAlignment="1" applyProtection="1">
      <alignment wrapText="1"/>
      <protection/>
    </xf>
    <xf numFmtId="49" fontId="36" fillId="40" borderId="54" xfId="88" applyFont="1" applyFill="1" applyBorder="1" applyAlignment="1" applyProtection="1">
      <alignment vertical="center"/>
      <protection/>
    </xf>
    <xf numFmtId="49" fontId="36" fillId="40" borderId="25" xfId="88" applyFont="1" applyFill="1" applyBorder="1" applyAlignment="1" applyProtection="1">
      <alignment vertical="center"/>
      <protection/>
    </xf>
    <xf numFmtId="49" fontId="36" fillId="40" borderId="58" xfId="88" applyFont="1" applyFill="1" applyBorder="1" applyAlignment="1" applyProtection="1">
      <alignment vertical="center"/>
      <protection/>
    </xf>
    <xf numFmtId="4" fontId="29" fillId="38" borderId="9" xfId="10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1" fontId="33" fillId="0" borderId="9" xfId="100" applyNumberFormat="1" applyFont="1" applyFill="1" applyBorder="1" applyAlignment="1" applyProtection="1">
      <alignment horizontal="center" vertical="center"/>
      <protection/>
    </xf>
    <xf numFmtId="1" fontId="3" fillId="0" borderId="9" xfId="100" applyNumberFormat="1" applyFont="1" applyFill="1" applyBorder="1" applyAlignment="1" applyProtection="1">
      <alignment horizontal="center" vertical="center"/>
      <protection/>
    </xf>
    <xf numFmtId="1" fontId="3" fillId="40" borderId="9" xfId="117" applyNumberFormat="1" applyFont="1" applyFill="1" applyBorder="1" applyAlignment="1" applyProtection="1">
      <alignment vertical="center" wrapText="1"/>
      <protection/>
    </xf>
    <xf numFmtId="1" fontId="114" fillId="0" borderId="9" xfId="118" applyNumberFormat="1" applyFont="1" applyBorder="1" applyAlignment="1" applyProtection="1">
      <alignment horizontal="center" vertical="center" wrapText="1"/>
      <protection/>
    </xf>
    <xf numFmtId="1" fontId="3" fillId="0" borderId="9" xfId="100" applyNumberFormat="1" applyFont="1" applyBorder="1" applyAlignment="1" applyProtection="1">
      <alignment horizontal="center" vertical="center"/>
      <protection/>
    </xf>
    <xf numFmtId="1" fontId="33" fillId="40" borderId="9" xfId="117" applyNumberFormat="1" applyFont="1" applyFill="1" applyBorder="1" applyAlignment="1" applyProtection="1">
      <alignment horizontal="center" vertical="center" wrapText="1"/>
      <protection/>
    </xf>
    <xf numFmtId="1" fontId="33" fillId="0" borderId="9" xfId="100" applyNumberFormat="1" applyFont="1" applyBorder="1" applyAlignment="1" applyProtection="1">
      <alignment horizontal="center" vertical="center" wrapText="1"/>
      <protection/>
    </xf>
    <xf numFmtId="49" fontId="3" fillId="36" borderId="54" xfId="100" applyNumberFormat="1" applyFont="1" applyFill="1" applyBorder="1" applyAlignment="1" applyProtection="1">
      <alignment horizontal="left" vertical="center" wrapText="1"/>
      <protection locked="0"/>
    </xf>
    <xf numFmtId="4" fontId="3" fillId="36" borderId="25" xfId="100" applyNumberFormat="1" applyFont="1" applyFill="1" applyBorder="1" applyAlignment="1" applyProtection="1">
      <alignment horizontal="center" vertical="center"/>
      <protection locked="0"/>
    </xf>
    <xf numFmtId="49" fontId="3" fillId="36" borderId="58" xfId="100" applyNumberFormat="1" applyFont="1" applyFill="1" applyBorder="1" applyAlignment="1" applyProtection="1">
      <alignment horizontal="left" vertical="center" wrapText="1"/>
      <protection locked="0"/>
    </xf>
    <xf numFmtId="49" fontId="3" fillId="36" borderId="25" xfId="100" applyNumberFormat="1" applyFont="1" applyFill="1" applyBorder="1" applyAlignment="1" applyProtection="1">
      <alignment horizontal="left" vertical="center" wrapText="1"/>
      <protection locked="0"/>
    </xf>
    <xf numFmtId="49" fontId="3" fillId="36" borderId="54" xfId="100" applyNumberFormat="1" applyFont="1" applyFill="1" applyBorder="1" applyAlignment="1" applyProtection="1">
      <alignment vertical="center" wrapText="1"/>
      <protection locked="0"/>
    </xf>
    <xf numFmtId="1" fontId="33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9" xfId="100" applyNumberFormat="1" applyFont="1" applyBorder="1" applyAlignment="1" applyProtection="1">
      <alignment horizontal="center" vertical="center" wrapText="1"/>
      <protection/>
    </xf>
    <xf numFmtId="1" fontId="29" fillId="0" borderId="9" xfId="100" applyNumberFormat="1" applyFont="1" applyBorder="1" applyAlignment="1" applyProtection="1">
      <alignment horizontal="center" vertical="center"/>
      <protection/>
    </xf>
    <xf numFmtId="1" fontId="29" fillId="40" borderId="9" xfId="117" applyNumberFormat="1" applyFont="1" applyFill="1" applyBorder="1" applyAlignment="1" applyProtection="1">
      <alignment vertical="center" wrapText="1"/>
      <protection/>
    </xf>
    <xf numFmtId="1" fontId="31" fillId="0" borderId="9" xfId="100" applyNumberFormat="1" applyFont="1" applyBorder="1" applyAlignment="1" applyProtection="1">
      <alignment horizontal="center" vertical="center"/>
      <protection/>
    </xf>
    <xf numFmtId="49" fontId="29" fillId="36" borderId="0" xfId="100" applyNumberFormat="1" applyFont="1" applyFill="1" applyBorder="1" applyAlignment="1" applyProtection="1">
      <alignment horizontal="left" vertical="center" wrapText="1" indent="1"/>
      <protection locked="0"/>
    </xf>
    <xf numFmtId="0" fontId="3" fillId="40" borderId="77" xfId="117" applyFont="1" applyFill="1" applyBorder="1" applyAlignment="1" applyProtection="1">
      <alignment vertical="center" wrapText="1"/>
      <protection/>
    </xf>
    <xf numFmtId="0" fontId="3" fillId="40" borderId="87" xfId="117" applyFont="1" applyFill="1" applyBorder="1" applyAlignment="1" applyProtection="1">
      <alignment vertical="center" wrapText="1"/>
      <protection/>
    </xf>
    <xf numFmtId="1" fontId="9" fillId="0" borderId="24" xfId="0" applyNumberFormat="1" applyFont="1" applyBorder="1" applyAlignment="1" applyProtection="1">
      <alignment horizontal="center" vertical="center" wrapText="1"/>
      <protection/>
    </xf>
    <xf numFmtId="1" fontId="9" fillId="0" borderId="77" xfId="0" applyNumberFormat="1" applyFont="1" applyBorder="1" applyAlignment="1" applyProtection="1">
      <alignment horizontal="center" vertical="center" wrapText="1"/>
      <protection/>
    </xf>
    <xf numFmtId="49" fontId="10" fillId="0" borderId="77" xfId="0" applyNumberFormat="1" applyFont="1" applyFill="1" applyBorder="1" applyAlignment="1" applyProtection="1">
      <alignment horizontal="left" vertical="center" wrapText="1"/>
      <protection/>
    </xf>
    <xf numFmtId="0" fontId="20" fillId="0" borderId="87" xfId="0" applyFont="1" applyFill="1" applyBorder="1" applyAlignment="1" applyProtection="1">
      <alignment horizontal="left" vertical="center" wrapText="1"/>
      <protection/>
    </xf>
    <xf numFmtId="49" fontId="36" fillId="40" borderId="17" xfId="88" applyFont="1" applyFill="1" applyBorder="1" applyAlignment="1" applyProtection="1">
      <alignment horizontal="left" vertical="center"/>
      <protection/>
    </xf>
    <xf numFmtId="4" fontId="28" fillId="52" borderId="9" xfId="100" applyNumberFormat="1" applyFont="1" applyFill="1" applyBorder="1" applyAlignment="1" applyProtection="1">
      <alignment horizontal="center" vertical="center"/>
      <protection/>
    </xf>
    <xf numFmtId="4" fontId="130" fillId="0" borderId="40" xfId="100" applyNumberFormat="1" applyFont="1" applyFill="1" applyBorder="1" applyAlignment="1" applyProtection="1">
      <alignment horizontal="center" vertical="center"/>
      <protection/>
    </xf>
    <xf numFmtId="4" fontId="130" fillId="0" borderId="54" xfId="100" applyNumberFormat="1" applyFont="1" applyFill="1" applyBorder="1" applyAlignment="1" applyProtection="1">
      <alignment horizontal="center" vertical="center"/>
      <protection/>
    </xf>
    <xf numFmtId="0" fontId="130" fillId="38" borderId="58" xfId="100" applyNumberFormat="1" applyFont="1" applyFill="1" applyBorder="1" applyAlignment="1" applyProtection="1">
      <alignment horizontal="left" vertical="center" wrapText="1" indent="3"/>
      <protection/>
    </xf>
    <xf numFmtId="49" fontId="130" fillId="38" borderId="58" xfId="100" applyNumberFormat="1" applyFont="1" applyFill="1" applyBorder="1" applyAlignment="1" applyProtection="1">
      <alignment horizontal="left" vertical="center" wrapText="1" indent="3"/>
      <protection/>
    </xf>
    <xf numFmtId="4" fontId="31" fillId="0" borderId="34" xfId="100" applyNumberFormat="1" applyFont="1" applyFill="1" applyBorder="1" applyAlignment="1" applyProtection="1">
      <alignment horizontal="center" vertical="center" wrapText="1"/>
      <protection/>
    </xf>
    <xf numFmtId="0" fontId="132" fillId="0" borderId="0" xfId="0" applyFont="1" applyAlignment="1" applyProtection="1">
      <alignment/>
      <protection/>
    </xf>
    <xf numFmtId="0" fontId="133" fillId="0" borderId="0" xfId="0" applyFont="1" applyAlignment="1" applyProtection="1">
      <alignment/>
      <protection/>
    </xf>
    <xf numFmtId="0" fontId="68" fillId="0" borderId="0" xfId="105" applyFont="1" applyFill="1" applyBorder="1" applyAlignment="1" applyProtection="1">
      <alignment horizontal="left" vertical="center" wrapText="1"/>
      <protection/>
    </xf>
    <xf numFmtId="0" fontId="10" fillId="0" borderId="0" xfId="100" applyFont="1" applyBorder="1" applyAlignment="1" applyProtection="1">
      <alignment vertical="center"/>
      <protection/>
    </xf>
    <xf numFmtId="49" fontId="68" fillId="0" borderId="0" xfId="105" applyNumberFormat="1" applyFont="1" applyBorder="1" applyAlignment="1" applyProtection="1">
      <alignment horizontal="center" vertical="top" wrapText="1"/>
      <protection/>
    </xf>
    <xf numFmtId="49" fontId="10" fillId="0" borderId="0" xfId="105" applyNumberFormat="1" applyFont="1" applyBorder="1" applyAlignment="1" applyProtection="1">
      <alignment horizontal="center" vertical="top" wrapText="1"/>
      <protection/>
    </xf>
    <xf numFmtId="0" fontId="76" fillId="0" borderId="0" xfId="100" applyFont="1" applyAlignment="1" applyProtection="1">
      <alignment vertical="center"/>
      <protection/>
    </xf>
    <xf numFmtId="0" fontId="0" fillId="0" borderId="0" xfId="100" applyFont="1" applyFill="1" applyBorder="1" applyAlignment="1">
      <alignment vertical="center"/>
      <protection/>
    </xf>
    <xf numFmtId="0" fontId="3" fillId="0" borderId="0" xfId="100" applyFont="1" applyFill="1" applyBorder="1" applyAlignment="1">
      <alignment vertical="center" wrapText="1"/>
      <protection/>
    </xf>
    <xf numFmtId="0" fontId="3" fillId="0" borderId="0" xfId="100" applyFont="1" applyBorder="1" applyAlignment="1">
      <alignment horizontal="left" vertical="center"/>
      <protection/>
    </xf>
    <xf numFmtId="0" fontId="0" fillId="36" borderId="9" xfId="115" applyFont="1" applyFill="1" applyBorder="1" applyAlignment="1" applyProtection="1">
      <alignment horizontal="center" vertical="center"/>
      <protection locked="0"/>
    </xf>
    <xf numFmtId="49" fontId="0" fillId="50" borderId="9" xfId="0" applyNumberFormat="1" applyFill="1" applyBorder="1" applyAlignment="1" applyProtection="1">
      <alignment horizontal="center" vertical="center" wrapText="1"/>
      <protection/>
    </xf>
    <xf numFmtId="0" fontId="3" fillId="0" borderId="9" xfId="118" applyFont="1" applyBorder="1" applyAlignment="1" applyProtection="1">
      <alignment horizontal="left" vertical="center" wrapText="1"/>
      <protection/>
    </xf>
    <xf numFmtId="0" fontId="33" fillId="0" borderId="9" xfId="0" applyFont="1" applyBorder="1" applyAlignment="1" applyProtection="1">
      <alignment horizontal="center" vertical="center"/>
      <protection/>
    </xf>
    <xf numFmtId="0" fontId="3" fillId="36" borderId="9" xfId="94" applyFont="1" applyFill="1" applyBorder="1" applyAlignment="1" applyProtection="1">
      <alignment horizontal="center" vertical="center" wrapText="1"/>
      <protection locked="0"/>
    </xf>
    <xf numFmtId="49" fontId="123" fillId="53" borderId="24" xfId="0" applyNumberFormat="1" applyFont="1" applyFill="1" applyBorder="1" applyAlignment="1" applyProtection="1">
      <alignment horizontal="center" vertical="center"/>
      <protection/>
    </xf>
    <xf numFmtId="0" fontId="29" fillId="53" borderId="58" xfId="0" applyFont="1" applyFill="1" applyBorder="1" applyAlignment="1" applyProtection="1">
      <alignment vertical="center" wrapText="1"/>
      <protection/>
    </xf>
    <xf numFmtId="0" fontId="29" fillId="53" borderId="24" xfId="0" applyFont="1" applyFill="1" applyBorder="1" applyAlignment="1" applyProtection="1">
      <alignment horizontal="center" vertical="center" wrapText="1"/>
      <protection/>
    </xf>
    <xf numFmtId="4" fontId="29" fillId="53" borderId="9" xfId="0" applyNumberFormat="1" applyFont="1" applyFill="1" applyBorder="1" applyAlignment="1" applyProtection="1">
      <alignment horizontal="center" vertical="center" wrapText="1"/>
      <protection locked="0"/>
    </xf>
    <xf numFmtId="4" fontId="29" fillId="53" borderId="9" xfId="0" applyNumberFormat="1" applyFont="1" applyFill="1" applyBorder="1" applyAlignment="1" applyProtection="1">
      <alignment horizontal="center" vertical="center" wrapText="1"/>
      <protection/>
    </xf>
    <xf numFmtId="4" fontId="29" fillId="53" borderId="87" xfId="0" applyNumberFormat="1" applyFont="1" applyFill="1" applyBorder="1" applyAlignment="1" applyProtection="1">
      <alignment horizontal="center" vertical="center" wrapText="1"/>
      <protection/>
    </xf>
    <xf numFmtId="0" fontId="0" fillId="53" borderId="0" xfId="0" applyFill="1" applyAlignment="1" applyProtection="1">
      <alignment/>
      <protection/>
    </xf>
    <xf numFmtId="4" fontId="3" fillId="36" borderId="9" xfId="118" applyNumberFormat="1" applyFont="1" applyFill="1" applyBorder="1" applyAlignment="1" applyProtection="1">
      <alignment horizontal="center" vertical="center" wrapText="1"/>
      <protection locked="0"/>
    </xf>
    <xf numFmtId="4" fontId="10" fillId="36" borderId="77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100" applyFont="1" applyFill="1" applyBorder="1" applyAlignment="1" applyProtection="1">
      <alignment vertical="center" wrapText="1"/>
      <protection/>
    </xf>
    <xf numFmtId="0" fontId="35" fillId="0" borderId="72" xfId="118" applyFont="1" applyBorder="1" applyAlignment="1" applyProtection="1">
      <alignment horizontal="center" vertical="center" wrapText="1"/>
      <protection/>
    </xf>
    <xf numFmtId="0" fontId="35" fillId="0" borderId="45" xfId="118" applyFont="1" applyBorder="1" applyAlignment="1" applyProtection="1">
      <alignment horizontal="center" vertical="center" wrapText="1"/>
      <protection/>
    </xf>
    <xf numFmtId="0" fontId="35" fillId="0" borderId="27" xfId="118" applyFont="1" applyBorder="1" applyAlignment="1" applyProtection="1">
      <alignment horizontal="center" vertical="center" wrapText="1"/>
      <protection/>
    </xf>
    <xf numFmtId="0" fontId="35" fillId="0" borderId="46" xfId="118" applyFont="1" applyBorder="1" applyAlignment="1" applyProtection="1">
      <alignment horizontal="center" vertical="center" wrapText="1"/>
      <protection/>
    </xf>
    <xf numFmtId="1" fontId="33" fillId="0" borderId="80" xfId="100" applyNumberFormat="1" applyFont="1" applyBorder="1" applyAlignment="1" applyProtection="1">
      <alignment horizontal="center" vertical="center"/>
      <protection/>
    </xf>
    <xf numFmtId="1" fontId="3" fillId="0" borderId="24" xfId="100" applyNumberFormat="1" applyFont="1" applyBorder="1" applyAlignment="1" applyProtection="1">
      <alignment horizontal="center" vertical="center"/>
      <protection/>
    </xf>
    <xf numFmtId="4" fontId="3" fillId="36" borderId="9" xfId="115" applyNumberFormat="1" applyFont="1" applyFill="1" applyBorder="1" applyAlignment="1" applyProtection="1">
      <alignment horizontal="center" vertical="center"/>
      <protection locked="0"/>
    </xf>
    <xf numFmtId="4" fontId="3" fillId="36" borderId="40" xfId="115" applyNumberFormat="1" applyFont="1" applyFill="1" applyBorder="1" applyAlignment="1" applyProtection="1">
      <alignment horizontal="center" vertical="center"/>
      <protection locked="0"/>
    </xf>
    <xf numFmtId="1" fontId="33" fillId="0" borderId="24" xfId="100" applyNumberFormat="1" applyFont="1" applyBorder="1" applyAlignment="1" applyProtection="1">
      <alignment horizontal="center" vertical="center"/>
      <protection/>
    </xf>
    <xf numFmtId="2" fontId="3" fillId="0" borderId="24" xfId="100" applyNumberFormat="1" applyFont="1" applyBorder="1" applyAlignment="1" applyProtection="1">
      <alignment horizontal="center" vertical="center"/>
      <protection/>
    </xf>
    <xf numFmtId="4" fontId="3" fillId="36" borderId="14" xfId="115" applyNumberFormat="1" applyFont="1" applyFill="1" applyBorder="1" applyAlignment="1" applyProtection="1">
      <alignment horizontal="center" vertical="center"/>
      <protection locked="0"/>
    </xf>
    <xf numFmtId="4" fontId="34" fillId="36" borderId="14" xfId="100" applyNumberFormat="1" applyFont="1" applyFill="1" applyBorder="1" applyAlignment="1" applyProtection="1">
      <alignment horizontal="center" vertical="center" wrapText="1"/>
      <protection locked="0"/>
    </xf>
    <xf numFmtId="49" fontId="0" fillId="36" borderId="24" xfId="100" applyNumberFormat="1" applyFont="1" applyFill="1" applyBorder="1" applyAlignment="1" applyProtection="1">
      <alignment horizontal="left" vertical="center" wrapText="1"/>
      <protection locked="0"/>
    </xf>
    <xf numFmtId="2" fontId="3" fillId="0" borderId="78" xfId="100" applyNumberFormat="1" applyFont="1" applyBorder="1" applyAlignment="1" applyProtection="1">
      <alignment horizontal="center" vertical="center"/>
      <protection/>
    </xf>
    <xf numFmtId="49" fontId="0" fillId="36" borderId="78" xfId="100" applyNumberFormat="1" applyFont="1" applyFill="1" applyBorder="1" applyAlignment="1" applyProtection="1">
      <alignment horizontal="left" vertical="center" wrapText="1"/>
      <protection locked="0"/>
    </xf>
    <xf numFmtId="4" fontId="3" fillId="36" borderId="50" xfId="115" applyNumberFormat="1" applyFont="1" applyFill="1" applyBorder="1" applyAlignment="1" applyProtection="1">
      <alignment horizontal="center" vertical="center"/>
      <protection locked="0"/>
    </xf>
    <xf numFmtId="4" fontId="3" fillId="36" borderId="62" xfId="115" applyNumberFormat="1" applyFont="1" applyFill="1" applyBorder="1" applyAlignment="1" applyProtection="1">
      <alignment horizontal="center" vertical="center"/>
      <protection locked="0"/>
    </xf>
    <xf numFmtId="4" fontId="3" fillId="36" borderId="52" xfId="115" applyNumberFormat="1" applyFont="1" applyFill="1" applyBorder="1" applyAlignment="1" applyProtection="1">
      <alignment horizontal="center" vertical="center"/>
      <protection locked="0"/>
    </xf>
    <xf numFmtId="4" fontId="34" fillId="36" borderId="50" xfId="100" applyNumberFormat="1" applyFont="1" applyFill="1" applyBorder="1" applyAlignment="1" applyProtection="1">
      <alignment horizontal="center" vertical="center" wrapText="1"/>
      <protection locked="0"/>
    </xf>
    <xf numFmtId="4" fontId="34" fillId="36" borderId="62" xfId="100" applyNumberFormat="1" applyFont="1" applyFill="1" applyBorder="1" applyAlignment="1" applyProtection="1">
      <alignment horizontal="center" vertical="center" wrapText="1"/>
      <protection locked="0"/>
    </xf>
    <xf numFmtId="0" fontId="3" fillId="40" borderId="72" xfId="117" applyFont="1" applyFill="1" applyBorder="1" applyAlignment="1" applyProtection="1">
      <alignment vertical="center" wrapText="1"/>
      <protection/>
    </xf>
    <xf numFmtId="49" fontId="36" fillId="40" borderId="72" xfId="88" applyFont="1" applyFill="1" applyBorder="1" applyAlignment="1" applyProtection="1">
      <alignment horizontal="left" vertical="center"/>
      <protection/>
    </xf>
    <xf numFmtId="0" fontId="3" fillId="40" borderId="45" xfId="117" applyFont="1" applyFill="1" applyBorder="1" applyAlignment="1" applyProtection="1">
      <alignment vertical="center" wrapText="1"/>
      <protection/>
    </xf>
    <xf numFmtId="0" fontId="3" fillId="40" borderId="27" xfId="117" applyFont="1" applyFill="1" applyBorder="1" applyAlignment="1" applyProtection="1">
      <alignment vertical="center" wrapText="1"/>
      <protection/>
    </xf>
    <xf numFmtId="0" fontId="3" fillId="40" borderId="46" xfId="117" applyFont="1" applyFill="1" applyBorder="1" applyAlignment="1" applyProtection="1">
      <alignment vertical="center" wrapText="1"/>
      <protection/>
    </xf>
    <xf numFmtId="4" fontId="130" fillId="0" borderId="40" xfId="100" applyNumberFormat="1" applyFont="1" applyFill="1" applyBorder="1" applyAlignment="1" applyProtection="1">
      <alignment horizontal="center" vertical="center"/>
      <protection locked="0"/>
    </xf>
    <xf numFmtId="4" fontId="130" fillId="0" borderId="40" xfId="100" applyNumberFormat="1" applyFont="1" applyFill="1" applyBorder="1" applyAlignment="1" applyProtection="1">
      <alignment horizontal="center" vertical="center" wrapText="1"/>
      <protection locked="0"/>
    </xf>
    <xf numFmtId="49" fontId="114" fillId="0" borderId="14" xfId="100" applyNumberFormat="1" applyFont="1" applyFill="1" applyBorder="1" applyAlignment="1" applyProtection="1">
      <alignment horizontal="center" vertical="center" wrapText="1"/>
      <protection/>
    </xf>
    <xf numFmtId="49" fontId="114" fillId="0" borderId="9" xfId="100" applyNumberFormat="1" applyFont="1" applyFill="1" applyBorder="1" applyAlignment="1" applyProtection="1">
      <alignment horizontal="center" vertical="center" wrapText="1"/>
      <protection/>
    </xf>
    <xf numFmtId="49" fontId="114" fillId="0" borderId="40" xfId="100" applyNumberFormat="1" applyFont="1" applyFill="1" applyBorder="1" applyAlignment="1" applyProtection="1">
      <alignment horizontal="center" vertical="center" wrapText="1"/>
      <protection/>
    </xf>
    <xf numFmtId="49" fontId="114" fillId="0" borderId="80" xfId="100" applyNumberFormat="1" applyFont="1" applyFill="1" applyBorder="1" applyAlignment="1" applyProtection="1">
      <alignment horizontal="left" vertical="center" wrapText="1"/>
      <protection/>
    </xf>
    <xf numFmtId="4" fontId="33" fillId="0" borderId="51" xfId="115" applyNumberFormat="1" applyFont="1" applyFill="1" applyBorder="1" applyAlignment="1" applyProtection="1">
      <alignment horizontal="center" vertical="center"/>
      <protection/>
    </xf>
    <xf numFmtId="4" fontId="33" fillId="0" borderId="18" xfId="115" applyNumberFormat="1" applyFont="1" applyFill="1" applyBorder="1" applyAlignment="1" applyProtection="1">
      <alignment horizontal="center" vertical="center"/>
      <protection/>
    </xf>
    <xf numFmtId="4" fontId="33" fillId="0" borderId="53" xfId="115" applyNumberFormat="1" applyFont="1" applyFill="1" applyBorder="1" applyAlignment="1" applyProtection="1">
      <alignment horizontal="center" vertical="center"/>
      <protection/>
    </xf>
    <xf numFmtId="49" fontId="0" fillId="0" borderId="24" xfId="100" applyNumberFormat="1" applyFont="1" applyFill="1" applyBorder="1" applyAlignment="1" applyProtection="1">
      <alignment horizontal="left" vertical="center" wrapText="1"/>
      <protection/>
    </xf>
    <xf numFmtId="4" fontId="3" fillId="0" borderId="14" xfId="115" applyNumberFormat="1" applyFont="1" applyFill="1" applyBorder="1" applyAlignment="1" applyProtection="1">
      <alignment horizontal="center" vertical="center"/>
      <protection/>
    </xf>
    <xf numFmtId="4" fontId="3" fillId="0" borderId="9" xfId="115" applyNumberFormat="1" applyFont="1" applyFill="1" applyBorder="1" applyAlignment="1" applyProtection="1">
      <alignment horizontal="center" vertical="center"/>
      <protection/>
    </xf>
    <xf numFmtId="49" fontId="114" fillId="0" borderId="24" xfId="100" applyNumberFormat="1" applyFont="1" applyFill="1" applyBorder="1" applyAlignment="1" applyProtection="1">
      <alignment horizontal="left" vertical="center" wrapText="1"/>
      <protection/>
    </xf>
    <xf numFmtId="4" fontId="33" fillId="0" borderId="14" xfId="115" applyNumberFormat="1" applyFont="1" applyFill="1" applyBorder="1" applyAlignment="1" applyProtection="1">
      <alignment horizontal="center" vertical="center"/>
      <protection/>
    </xf>
    <xf numFmtId="4" fontId="33" fillId="0" borderId="9" xfId="115" applyNumberFormat="1" applyFont="1" applyFill="1" applyBorder="1" applyAlignment="1" applyProtection="1">
      <alignment horizontal="center" vertical="center"/>
      <protection/>
    </xf>
    <xf numFmtId="4" fontId="33" fillId="0" borderId="40" xfId="115" applyNumberFormat="1" applyFont="1" applyFill="1" applyBorder="1" applyAlignment="1" applyProtection="1">
      <alignment horizontal="center" vertical="center"/>
      <protection/>
    </xf>
    <xf numFmtId="0" fontId="10" fillId="0" borderId="80" xfId="0" applyFont="1" applyBorder="1" applyAlignment="1" applyProtection="1">
      <alignment horizontal="center" vertical="center" wrapText="1"/>
      <protection/>
    </xf>
    <xf numFmtId="4" fontId="29" fillId="0" borderId="26" xfId="100" applyNumberFormat="1" applyFont="1" applyFill="1" applyBorder="1" applyAlignment="1" applyProtection="1">
      <alignment horizontal="center" vertical="center"/>
      <protection/>
    </xf>
    <xf numFmtId="0" fontId="29" fillId="0" borderId="0" xfId="98" applyFont="1" applyFill="1" applyBorder="1" applyAlignment="1" applyProtection="1">
      <alignment horizontal="left" wrapText="1"/>
      <protection/>
    </xf>
    <xf numFmtId="2" fontId="3" fillId="10" borderId="19" xfId="115" applyNumberFormat="1" applyFont="1" applyFill="1" applyBorder="1" applyAlignment="1" applyProtection="1">
      <alignment horizontal="center" vertical="center"/>
      <protection/>
    </xf>
    <xf numFmtId="0" fontId="45" fillId="0" borderId="0" xfId="114" applyFont="1" applyFill="1" applyAlignment="1" applyProtection="1">
      <alignment horizontal="left" vertical="center"/>
      <protection/>
    </xf>
    <xf numFmtId="0" fontId="39" fillId="0" borderId="0" xfId="114" applyFont="1" applyAlignment="1" applyProtection="1">
      <alignment vertical="center"/>
      <protection/>
    </xf>
    <xf numFmtId="0" fontId="3" fillId="0" borderId="0" xfId="114" applyFont="1" applyAlignment="1" applyProtection="1">
      <alignment vertical="center" wrapText="1"/>
      <protection/>
    </xf>
    <xf numFmtId="0" fontId="3" fillId="41" borderId="0" xfId="116" applyFont="1" applyFill="1" applyBorder="1" applyAlignment="1" applyProtection="1">
      <alignment horizontal="center" vertical="center" wrapText="1"/>
      <protection/>
    </xf>
    <xf numFmtId="49" fontId="45" fillId="0" borderId="0" xfId="120" applyFont="1" applyFill="1" applyProtection="1">
      <alignment vertical="top"/>
      <protection/>
    </xf>
    <xf numFmtId="0" fontId="3" fillId="0" borderId="0" xfId="116" applyFont="1" applyFill="1" applyBorder="1" applyAlignment="1" applyProtection="1">
      <alignment horizontal="center" vertical="center" wrapText="1"/>
      <protection/>
    </xf>
    <xf numFmtId="0" fontId="13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9" xfId="100" applyFont="1" applyFill="1" applyBorder="1" applyAlignment="1" applyProtection="1">
      <alignment horizontal="center" vertical="center" wrapText="1"/>
      <protection/>
    </xf>
    <xf numFmtId="0" fontId="123" fillId="0" borderId="0" xfId="0" applyFont="1" applyBorder="1" applyAlignment="1" applyProtection="1">
      <alignment/>
      <protection/>
    </xf>
    <xf numFmtId="4" fontId="123" fillId="0" borderId="0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9" fillId="0" borderId="0" xfId="98" applyFont="1" applyFill="1" applyBorder="1" applyAlignment="1" applyProtection="1">
      <alignment horizontal="center" vertical="center"/>
      <protection/>
    </xf>
    <xf numFmtId="2" fontId="0" fillId="36" borderId="0" xfId="0" applyNumberFormat="1" applyFill="1" applyAlignment="1">
      <alignment/>
    </xf>
    <xf numFmtId="49" fontId="10" fillId="0" borderId="9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 wrapText="1" indent="1"/>
      <protection/>
    </xf>
    <xf numFmtId="0" fontId="10" fillId="0" borderId="0" xfId="0" applyFont="1" applyAlignment="1" applyProtection="1">
      <alignment/>
      <protection/>
    </xf>
    <xf numFmtId="49" fontId="0" fillId="0" borderId="9" xfId="100" applyNumberFormat="1" applyFont="1" applyFill="1" applyBorder="1" applyAlignment="1" applyProtection="1">
      <alignment horizontal="center" vertical="center" wrapText="1"/>
      <protection/>
    </xf>
    <xf numFmtId="0" fontId="114" fillId="0" borderId="0" xfId="0" applyFont="1" applyAlignment="1" applyProtection="1">
      <alignment/>
      <protection/>
    </xf>
    <xf numFmtId="0" fontId="2" fillId="0" borderId="9" xfId="100" applyFont="1" applyBorder="1" applyAlignment="1" applyProtection="1">
      <alignment horizontal="left" vertical="center" wrapText="1"/>
      <protection/>
    </xf>
    <xf numFmtId="49" fontId="3" fillId="36" borderId="58" xfId="100" applyNumberFormat="1" applyFont="1" applyFill="1" applyBorder="1" applyAlignment="1" applyProtection="1">
      <alignment vertical="center" wrapText="1"/>
      <protection locked="0"/>
    </xf>
    <xf numFmtId="49" fontId="3" fillId="36" borderId="25" xfId="100" applyNumberFormat="1" applyFont="1" applyFill="1" applyBorder="1" applyAlignment="1" applyProtection="1">
      <alignment vertical="center" wrapText="1"/>
      <protection locked="0"/>
    </xf>
    <xf numFmtId="0" fontId="33" fillId="0" borderId="54" xfId="100" applyFont="1" applyFill="1" applyBorder="1" applyAlignment="1" applyProtection="1">
      <alignment vertical="center" wrapText="1"/>
      <protection/>
    </xf>
    <xf numFmtId="0" fontId="33" fillId="0" borderId="58" xfId="100" applyFont="1" applyFill="1" applyBorder="1" applyAlignment="1" applyProtection="1">
      <alignment horizontal="center" vertical="center"/>
      <protection/>
    </xf>
    <xf numFmtId="0" fontId="33" fillId="0" borderId="25" xfId="100" applyFont="1" applyFill="1" applyBorder="1" applyAlignment="1" applyProtection="1">
      <alignment horizontal="center" vertical="center"/>
      <protection/>
    </xf>
    <xf numFmtId="49" fontId="0" fillId="36" borderId="9" xfId="10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9" xfId="105" applyFont="1" applyFill="1" applyBorder="1" applyAlignment="1" applyProtection="1">
      <alignment horizontal="center" vertical="center" wrapText="1"/>
      <protection/>
    </xf>
    <xf numFmtId="1" fontId="33" fillId="0" borderId="9" xfId="129" applyNumberFormat="1" applyFont="1" applyFill="1" applyBorder="1" applyAlignment="1" applyProtection="1">
      <alignment horizontal="left" vertical="center" wrapText="1"/>
      <protection/>
    </xf>
    <xf numFmtId="4" fontId="28" fillId="38" borderId="9" xfId="129" applyNumberFormat="1" applyFont="1" applyFill="1" applyBorder="1" applyAlignment="1" applyProtection="1">
      <alignment horizontal="center" vertical="center" wrapText="1"/>
      <protection/>
    </xf>
    <xf numFmtId="1" fontId="3" fillId="0" borderId="9" xfId="129" applyNumberFormat="1" applyFont="1" applyFill="1" applyBorder="1" applyAlignment="1" applyProtection="1">
      <alignment horizontal="center" vertical="center" wrapText="1"/>
      <protection/>
    </xf>
    <xf numFmtId="49" fontId="28" fillId="36" borderId="9" xfId="100" applyNumberFormat="1" applyFont="1" applyFill="1" applyBorder="1" applyAlignment="1" applyProtection="1">
      <alignment horizontal="center" vertical="center" wrapText="1"/>
      <protection locked="0"/>
    </xf>
    <xf numFmtId="2" fontId="33" fillId="0" borderId="9" xfId="100" applyNumberFormat="1" applyFont="1" applyFill="1" applyBorder="1" applyAlignment="1" applyProtection="1">
      <alignment horizontal="center" vertical="center" wrapText="1"/>
      <protection/>
    </xf>
    <xf numFmtId="173" fontId="28" fillId="38" borderId="9" xfId="100" applyNumberFormat="1" applyFont="1" applyFill="1" applyBorder="1" applyAlignment="1" applyProtection="1">
      <alignment horizontal="center" vertical="center"/>
      <protection/>
    </xf>
    <xf numFmtId="0" fontId="3" fillId="0" borderId="9" xfId="94" applyFont="1" applyBorder="1" applyAlignment="1" applyProtection="1">
      <alignment horizontal="center" vertical="center"/>
      <protection/>
    </xf>
    <xf numFmtId="0" fontId="3" fillId="0" borderId="9" xfId="94" applyFont="1" applyBorder="1" applyAlignment="1" applyProtection="1">
      <alignment horizontal="left" vertical="center" wrapText="1"/>
      <protection/>
    </xf>
    <xf numFmtId="4" fontId="34" fillId="0" borderId="9" xfId="105" applyNumberFormat="1" applyFont="1" applyFill="1" applyBorder="1" applyAlignment="1" applyProtection="1">
      <alignment horizontal="center" vertical="center" wrapText="1"/>
      <protection/>
    </xf>
    <xf numFmtId="0" fontId="3" fillId="0" borderId="9" xfId="94" applyFont="1" applyBorder="1" applyAlignment="1" applyProtection="1">
      <alignment vertical="center" wrapText="1"/>
      <protection/>
    </xf>
    <xf numFmtId="49" fontId="31" fillId="0" borderId="72" xfId="0" applyNumberFormat="1" applyFont="1" applyBorder="1" applyAlignment="1" applyProtection="1">
      <alignment horizontal="center" vertical="center"/>
      <protection/>
    </xf>
    <xf numFmtId="0" fontId="31" fillId="0" borderId="88" xfId="0" applyFont="1" applyBorder="1" applyAlignment="1" applyProtection="1">
      <alignment vertical="center" wrapText="1"/>
      <protection/>
    </xf>
    <xf numFmtId="0" fontId="31" fillId="0" borderId="72" xfId="0" applyFont="1" applyBorder="1" applyAlignment="1" applyProtection="1">
      <alignment horizontal="center" vertical="center" wrapText="1"/>
      <protection/>
    </xf>
    <xf numFmtId="4" fontId="31" fillId="0" borderId="27" xfId="0" applyNumberFormat="1" applyFont="1" applyBorder="1" applyAlignment="1" applyProtection="1">
      <alignment vertical="center" wrapText="1"/>
      <protection/>
    </xf>
    <xf numFmtId="4" fontId="31" fillId="0" borderId="27" xfId="0" applyNumberFormat="1" applyFont="1" applyFill="1" applyBorder="1" applyAlignment="1" applyProtection="1">
      <alignment vertical="center" wrapText="1"/>
      <protection/>
    </xf>
    <xf numFmtId="4" fontId="31" fillId="0" borderId="9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Alignment="1" applyProtection="1">
      <alignment/>
      <protection/>
    </xf>
    <xf numFmtId="4" fontId="29" fillId="41" borderId="51" xfId="100" applyNumberFormat="1" applyFont="1" applyFill="1" applyBorder="1" applyAlignment="1" applyProtection="1">
      <alignment horizontal="center" vertical="center"/>
      <protection/>
    </xf>
    <xf numFmtId="0" fontId="123" fillId="0" borderId="9" xfId="0" applyFont="1" applyFill="1" applyBorder="1" applyAlignment="1" applyProtection="1">
      <alignment horizontal="center" vertical="center"/>
      <protection/>
    </xf>
    <xf numFmtId="49" fontId="123" fillId="36" borderId="9" xfId="0" applyNumberFormat="1" applyFont="1" applyFill="1" applyBorder="1" applyAlignment="1" applyProtection="1">
      <alignment vertical="center" wrapText="1"/>
      <protection locked="0"/>
    </xf>
    <xf numFmtId="4" fontId="29" fillId="0" borderId="64" xfId="100" applyNumberFormat="1" applyFont="1" applyFill="1" applyBorder="1" applyAlignment="1" applyProtection="1">
      <alignment horizontal="center" vertical="center" wrapText="1"/>
      <protection/>
    </xf>
    <xf numFmtId="4" fontId="29" fillId="0" borderId="57" xfId="100" applyNumberFormat="1" applyFont="1" applyFill="1" applyBorder="1" applyAlignment="1" applyProtection="1">
      <alignment horizontal="center" vertical="center" wrapText="1"/>
      <protection/>
    </xf>
    <xf numFmtId="4" fontId="29" fillId="0" borderId="88" xfId="100" applyNumberFormat="1" applyFont="1" applyFill="1" applyBorder="1" applyAlignment="1" applyProtection="1">
      <alignment horizontal="center" vertical="center"/>
      <protection/>
    </xf>
    <xf numFmtId="4" fontId="31" fillId="0" borderId="64" xfId="100" applyNumberFormat="1" applyFont="1" applyFill="1" applyBorder="1" applyAlignment="1" applyProtection="1">
      <alignment horizontal="center" vertical="center"/>
      <protection/>
    </xf>
    <xf numFmtId="4" fontId="31" fillId="46" borderId="48" xfId="100" applyNumberFormat="1" applyFont="1" applyFill="1" applyBorder="1" applyAlignment="1" applyProtection="1">
      <alignment horizontal="center" vertical="center"/>
      <protection/>
    </xf>
    <xf numFmtId="4" fontId="18" fillId="46" borderId="48" xfId="100" applyNumberFormat="1" applyFont="1" applyFill="1" applyBorder="1" applyAlignment="1" applyProtection="1">
      <alignment horizontal="center" vertical="center"/>
      <protection/>
    </xf>
    <xf numFmtId="4" fontId="29" fillId="0" borderId="93" xfId="100" applyNumberFormat="1" applyFont="1" applyBorder="1" applyAlignment="1" applyProtection="1">
      <alignment horizontal="center" vertical="center"/>
      <protection/>
    </xf>
    <xf numFmtId="4" fontId="29" fillId="0" borderId="94" xfId="100" applyNumberFormat="1" applyFont="1" applyBorder="1" applyAlignment="1" applyProtection="1">
      <alignment horizontal="center" vertical="center"/>
      <protection/>
    </xf>
    <xf numFmtId="3" fontId="3" fillId="36" borderId="9" xfId="100" applyNumberFormat="1" applyFont="1" applyFill="1" applyBorder="1" applyAlignment="1" applyProtection="1">
      <alignment horizontal="center" vertical="center" wrapText="1"/>
      <protection locked="0"/>
    </xf>
    <xf numFmtId="4" fontId="33" fillId="36" borderId="9" xfId="100" applyNumberFormat="1" applyFont="1" applyFill="1" applyBorder="1" applyAlignment="1" applyProtection="1">
      <alignment horizontal="center" vertical="center" wrapText="1"/>
      <protection locked="0"/>
    </xf>
    <xf numFmtId="49" fontId="0" fillId="36" borderId="19" xfId="115" applyNumberFormat="1" applyFont="1" applyFill="1" applyBorder="1" applyAlignment="1" applyProtection="1">
      <alignment horizontal="center" vertical="center" wrapText="1"/>
      <protection locked="0"/>
    </xf>
    <xf numFmtId="0" fontId="12" fillId="0" borderId="81" xfId="0" applyFont="1" applyBorder="1" applyAlignment="1" applyProtection="1">
      <alignment horizontal="center"/>
      <protection/>
    </xf>
    <xf numFmtId="0" fontId="13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123" fillId="0" borderId="9" xfId="0" applyFont="1" applyFill="1" applyBorder="1" applyAlignment="1" applyProtection="1">
      <alignment horizontal="center" vertical="center" wrapText="1"/>
      <protection/>
    </xf>
    <xf numFmtId="0" fontId="123" fillId="0" borderId="62" xfId="0" applyFont="1" applyFill="1" applyBorder="1" applyAlignment="1" applyProtection="1">
      <alignment horizontal="center" vertical="center" wrapText="1"/>
      <protection/>
    </xf>
    <xf numFmtId="0" fontId="123" fillId="0" borderId="9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123" fillId="0" borderId="0" xfId="0" applyFont="1" applyBorder="1" applyAlignment="1" applyProtection="1">
      <alignment horizontal="center" vertical="center"/>
      <protection/>
    </xf>
    <xf numFmtId="0" fontId="123" fillId="0" borderId="0" xfId="0" applyFont="1" applyFill="1" applyBorder="1" applyAlignment="1" applyProtection="1">
      <alignment horizontal="center" vertical="center"/>
      <protection/>
    </xf>
    <xf numFmtId="0" fontId="123" fillId="0" borderId="9" xfId="0" applyFont="1" applyBorder="1" applyAlignment="1" applyProtection="1">
      <alignment horizontal="center" vertical="center" wrapText="1"/>
      <protection/>
    </xf>
    <xf numFmtId="0" fontId="41" fillId="0" borderId="9" xfId="0" applyFont="1" applyBorder="1" applyAlignment="1" applyProtection="1">
      <alignment horizontal="center" vertical="center" wrapText="1"/>
      <protection/>
    </xf>
    <xf numFmtId="0" fontId="123" fillId="0" borderId="62" xfId="0" applyFont="1" applyBorder="1" applyAlignment="1" applyProtection="1">
      <alignment horizontal="center" vertical="center" wrapText="1"/>
      <protection/>
    </xf>
    <xf numFmtId="0" fontId="123" fillId="0" borderId="54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justify" vertical="center" wrapText="1"/>
      <protection/>
    </xf>
    <xf numFmtId="0" fontId="0" fillId="0" borderId="0" xfId="0" applyFont="1" applyFill="1" applyAlignment="1" applyProtection="1">
      <alignment/>
      <protection/>
    </xf>
    <xf numFmtId="4" fontId="29" fillId="36" borderId="38" xfId="100" applyNumberFormat="1" applyFont="1" applyFill="1" applyBorder="1" applyAlignment="1" applyProtection="1">
      <alignment horizontal="center" vertical="center" wrapText="1"/>
      <protection locked="0"/>
    </xf>
    <xf numFmtId="4" fontId="29" fillId="0" borderId="18" xfId="100" applyNumberFormat="1" applyFont="1" applyFill="1" applyBorder="1" applyAlignment="1" applyProtection="1">
      <alignment horizontal="center" vertical="center" wrapText="1"/>
      <protection locked="0"/>
    </xf>
    <xf numFmtId="0" fontId="29" fillId="0" borderId="81" xfId="100" applyFont="1" applyBorder="1" applyAlignment="1" applyProtection="1">
      <alignment vertical="center"/>
      <protection/>
    </xf>
    <xf numFmtId="0" fontId="123" fillId="0" borderId="81" xfId="0" applyFont="1" applyBorder="1" applyAlignment="1" applyProtection="1">
      <alignment/>
      <protection/>
    </xf>
    <xf numFmtId="0" fontId="123" fillId="0" borderId="58" xfId="0" applyFont="1" applyBorder="1" applyAlignment="1" applyProtection="1">
      <alignment/>
      <protection/>
    </xf>
    <xf numFmtId="49" fontId="41" fillId="0" borderId="0" xfId="105" applyNumberFormat="1" applyFont="1" applyBorder="1" applyAlignment="1" applyProtection="1">
      <alignment vertical="top" wrapText="1"/>
      <protection/>
    </xf>
    <xf numFmtId="0" fontId="29" fillId="0" borderId="81" xfId="100" applyFont="1" applyBorder="1" applyAlignment="1" applyProtection="1">
      <alignment/>
      <protection/>
    </xf>
    <xf numFmtId="49" fontId="41" fillId="0" borderId="0" xfId="105" applyNumberFormat="1" applyFont="1" applyBorder="1" applyAlignment="1" applyProtection="1">
      <alignment vertical="center" wrapText="1"/>
      <protection/>
    </xf>
    <xf numFmtId="49" fontId="41" fillId="0" borderId="81" xfId="105" applyNumberFormat="1" applyFont="1" applyBorder="1" applyAlignment="1" applyProtection="1">
      <alignment vertical="top" wrapText="1"/>
      <protection/>
    </xf>
    <xf numFmtId="49" fontId="41" fillId="0" borderId="0" xfId="105" applyNumberFormat="1" applyFont="1" applyBorder="1" applyAlignment="1" applyProtection="1">
      <alignment vertical="center"/>
      <protection/>
    </xf>
    <xf numFmtId="0" fontId="29" fillId="0" borderId="0" xfId="100" applyFont="1" applyBorder="1" applyAlignment="1" applyProtection="1">
      <alignment/>
      <protection/>
    </xf>
    <xf numFmtId="4" fontId="29" fillId="44" borderId="69" xfId="100" applyNumberFormat="1" applyFont="1" applyFill="1" applyBorder="1" applyAlignment="1" applyProtection="1">
      <alignment horizontal="center" vertical="center"/>
      <protection/>
    </xf>
    <xf numFmtId="4" fontId="29" fillId="44" borderId="44" xfId="100" applyNumberFormat="1" applyFont="1" applyFill="1" applyBorder="1" applyAlignment="1" applyProtection="1">
      <alignment horizontal="center" vertical="center"/>
      <protection/>
    </xf>
    <xf numFmtId="4" fontId="29" fillId="44" borderId="34" xfId="98" applyNumberFormat="1" applyFont="1" applyFill="1" applyBorder="1" applyAlignment="1" applyProtection="1">
      <alignment horizontal="center" vertical="center"/>
      <protection/>
    </xf>
    <xf numFmtId="0" fontId="77" fillId="0" borderId="0" xfId="119" applyFont="1" applyAlignment="1">
      <alignment horizontal="center" wrapText="1"/>
      <protection/>
    </xf>
    <xf numFmtId="0" fontId="4" fillId="0" borderId="0" xfId="112">
      <alignment/>
      <protection/>
    </xf>
    <xf numFmtId="49" fontId="12" fillId="0" borderId="9" xfId="112" applyNumberFormat="1" applyFont="1" applyBorder="1" applyAlignment="1">
      <alignment horizontal="center" vertical="center" wrapText="1"/>
      <protection/>
    </xf>
    <xf numFmtId="0" fontId="78" fillId="0" borderId="9" xfId="112" applyFont="1" applyBorder="1" applyAlignment="1" applyProtection="1">
      <alignment horizontal="center" vertical="center" wrapText="1"/>
      <protection/>
    </xf>
    <xf numFmtId="0" fontId="78" fillId="0" borderId="9" xfId="112" applyFont="1" applyBorder="1" applyAlignment="1" applyProtection="1">
      <alignment vertical="center" wrapText="1"/>
      <protection/>
    </xf>
    <xf numFmtId="4" fontId="29" fillId="4" borderId="27" xfId="100" applyNumberFormat="1" applyFont="1" applyFill="1" applyBorder="1" applyAlignment="1" applyProtection="1">
      <alignment horizontal="center" vertical="center" wrapText="1"/>
      <protection/>
    </xf>
    <xf numFmtId="4" fontId="29" fillId="4" borderId="23" xfId="100" applyNumberFormat="1" applyFont="1" applyFill="1" applyBorder="1" applyAlignment="1" applyProtection="1">
      <alignment horizontal="center" vertical="center" wrapText="1"/>
      <protection/>
    </xf>
    <xf numFmtId="4" fontId="29" fillId="4" borderId="18" xfId="100" applyNumberFormat="1" applyFont="1" applyFill="1" applyBorder="1" applyAlignment="1" applyProtection="1">
      <alignment horizontal="center" vertical="center" wrapText="1"/>
      <protection/>
    </xf>
    <xf numFmtId="4" fontId="29" fillId="4" borderId="62" xfId="100" applyNumberFormat="1" applyFont="1" applyFill="1" applyBorder="1" applyAlignment="1" applyProtection="1">
      <alignment horizontal="center" vertical="center" wrapText="1"/>
      <protection locked="0"/>
    </xf>
    <xf numFmtId="4" fontId="29" fillId="4" borderId="62" xfId="100" applyNumberFormat="1" applyFont="1" applyFill="1" applyBorder="1" applyAlignment="1" applyProtection="1">
      <alignment horizontal="center" vertical="center" wrapText="1"/>
      <protection/>
    </xf>
    <xf numFmtId="0" fontId="10" fillId="0" borderId="9" xfId="112" applyFont="1" applyBorder="1" applyAlignment="1">
      <alignment horizontal="center" vertical="center" wrapText="1"/>
      <protection/>
    </xf>
    <xf numFmtId="4" fontId="29" fillId="4" borderId="27" xfId="100" applyNumberFormat="1" applyFont="1" applyFill="1" applyBorder="1" applyAlignment="1" applyProtection="1">
      <alignment horizontal="center" vertical="center" wrapText="1"/>
      <protection locked="0"/>
    </xf>
    <xf numFmtId="172" fontId="4" fillId="36" borderId="9" xfId="127" applyNumberFormat="1" applyFont="1" applyFill="1" applyBorder="1" applyAlignment="1" applyProtection="1">
      <alignment horizontal="center" vertical="center"/>
      <protection locked="0"/>
    </xf>
    <xf numFmtId="172" fontId="4" fillId="0" borderId="9" xfId="127" applyNumberFormat="1" applyFont="1" applyFill="1" applyBorder="1" applyAlignment="1" applyProtection="1">
      <alignment horizontal="center" vertical="center"/>
      <protection/>
    </xf>
    <xf numFmtId="172" fontId="4" fillId="0" borderId="9" xfId="127" applyNumberFormat="1" applyFont="1" applyBorder="1" applyAlignment="1">
      <alignment horizontal="center" vertical="center"/>
    </xf>
    <xf numFmtId="2" fontId="29" fillId="41" borderId="29" xfId="10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18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0" fontId="29" fillId="0" borderId="8" xfId="100" applyFont="1" applyFill="1" applyBorder="1" applyAlignment="1" applyProtection="1">
      <alignment horizontal="center" vertical="center"/>
      <protection/>
    </xf>
    <xf numFmtId="0" fontId="29" fillId="0" borderId="21" xfId="100" applyFont="1" applyFill="1" applyBorder="1" applyAlignment="1" applyProtection="1">
      <alignment horizontal="center" vertical="center"/>
      <protection/>
    </xf>
    <xf numFmtId="0" fontId="29" fillId="0" borderId="68" xfId="100" applyFont="1" applyFill="1" applyBorder="1" applyAlignment="1" applyProtection="1">
      <alignment horizontal="center" vertical="center"/>
      <protection/>
    </xf>
    <xf numFmtId="0" fontId="29" fillId="44" borderId="9" xfId="100" applyFont="1" applyFill="1" applyBorder="1" applyAlignment="1" applyProtection="1">
      <alignment horizontal="center" vertical="center"/>
      <protection/>
    </xf>
    <xf numFmtId="0" fontId="29" fillId="44" borderId="56" xfId="100" applyFont="1" applyFill="1" applyBorder="1" applyAlignment="1" applyProtection="1">
      <alignment horizontal="center" vertical="center"/>
      <protection/>
    </xf>
    <xf numFmtId="0" fontId="29" fillId="44" borderId="55" xfId="100" applyFont="1" applyFill="1" applyBorder="1" applyAlignment="1" applyProtection="1">
      <alignment horizontal="center" vertical="center"/>
      <protection/>
    </xf>
    <xf numFmtId="0" fontId="29" fillId="44" borderId="14" xfId="100" applyFont="1" applyFill="1" applyBorder="1" applyAlignment="1" applyProtection="1">
      <alignment horizontal="center" vertical="center"/>
      <protection/>
    </xf>
    <xf numFmtId="0" fontId="29" fillId="44" borderId="40" xfId="100" applyFont="1" applyFill="1" applyBorder="1" applyAlignment="1" applyProtection="1">
      <alignment horizontal="center" vertical="center"/>
      <protection/>
    </xf>
    <xf numFmtId="4" fontId="29" fillId="4" borderId="18" xfId="100" applyNumberFormat="1" applyFont="1" applyFill="1" applyBorder="1" applyAlignment="1" applyProtection="1">
      <alignment horizontal="center" vertical="center" wrapText="1"/>
      <protection locked="0"/>
    </xf>
    <xf numFmtId="0" fontId="132" fillId="0" borderId="9" xfId="0" applyFont="1" applyBorder="1" applyAlignment="1">
      <alignment horizontal="center" vertical="center" wrapText="1"/>
    </xf>
    <xf numFmtId="2" fontId="63" fillId="0" borderId="0" xfId="100" applyNumberFormat="1" applyFont="1" applyAlignment="1" applyProtection="1">
      <alignment vertical="center"/>
      <protection/>
    </xf>
    <xf numFmtId="2" fontId="29" fillId="0" borderId="85" xfId="100" applyNumberFormat="1" applyFont="1" applyFill="1" applyBorder="1" applyAlignment="1" applyProtection="1">
      <alignment horizontal="center" vertical="center"/>
      <protection/>
    </xf>
    <xf numFmtId="2" fontId="29" fillId="0" borderId="0" xfId="100" applyNumberFormat="1" applyFont="1" applyFill="1" applyBorder="1" applyAlignment="1" applyProtection="1">
      <alignment horizontal="left" vertical="center" wrapText="1" indent="2"/>
      <protection/>
    </xf>
    <xf numFmtId="2" fontId="130" fillId="0" borderId="61" xfId="127" applyNumberFormat="1" applyFont="1" applyFill="1" applyBorder="1" applyAlignment="1" applyProtection="1">
      <alignment horizontal="center" vertical="center"/>
      <protection/>
    </xf>
    <xf numFmtId="2" fontId="130" fillId="0" borderId="32" xfId="100" applyNumberFormat="1" applyFont="1" applyFill="1" applyBorder="1" applyAlignment="1" applyProtection="1">
      <alignment horizontal="center" vertical="center" wrapText="1"/>
      <protection/>
    </xf>
    <xf numFmtId="2" fontId="130" fillId="0" borderId="61" xfId="100" applyNumberFormat="1" applyFont="1" applyFill="1" applyBorder="1" applyAlignment="1" applyProtection="1">
      <alignment horizontal="center" vertical="center" wrapText="1"/>
      <protection/>
    </xf>
    <xf numFmtId="2" fontId="29" fillId="0" borderId="33" xfId="100" applyNumberFormat="1" applyFont="1" applyFill="1" applyBorder="1" applyAlignment="1" applyProtection="1">
      <alignment horizontal="center" vertical="center" wrapText="1"/>
      <protection/>
    </xf>
    <xf numFmtId="2" fontId="130" fillId="0" borderId="60" xfId="100" applyNumberFormat="1" applyFont="1" applyFill="1" applyBorder="1" applyAlignment="1" applyProtection="1">
      <alignment horizontal="center" vertical="center" wrapText="1"/>
      <protection/>
    </xf>
    <xf numFmtId="2" fontId="123" fillId="0" borderId="0" xfId="0" applyNumberFormat="1" applyFont="1" applyAlignment="1" applyProtection="1">
      <alignment/>
      <protection/>
    </xf>
    <xf numFmtId="4" fontId="31" fillId="36" borderId="44" xfId="100" applyNumberFormat="1" applyFont="1" applyFill="1" applyBorder="1" applyAlignment="1" applyProtection="1">
      <alignment horizontal="center" vertical="center"/>
      <protection locked="0"/>
    </xf>
    <xf numFmtId="4" fontId="31" fillId="36" borderId="41" xfId="100" applyNumberFormat="1" applyFont="1" applyFill="1" applyBorder="1" applyAlignment="1" applyProtection="1">
      <alignment horizontal="center" vertical="center" wrapText="1"/>
      <protection locked="0"/>
    </xf>
    <xf numFmtId="0" fontId="29" fillId="36" borderId="46" xfId="100" applyFont="1" applyFill="1" applyBorder="1" applyAlignment="1" applyProtection="1">
      <alignment horizontal="center" vertical="center" wrapText="1"/>
      <protection locked="0"/>
    </xf>
    <xf numFmtId="49" fontId="0" fillId="36" borderId="19" xfId="115" applyNumberFormat="1" applyFont="1" applyFill="1" applyBorder="1" applyAlignment="1" applyProtection="1">
      <alignment horizontal="center" vertical="center" wrapText="1"/>
      <protection locked="0"/>
    </xf>
    <xf numFmtId="0" fontId="0" fillId="36" borderId="19" xfId="115" applyFont="1" applyFill="1" applyBorder="1" applyAlignment="1" applyProtection="1">
      <alignment horizontal="center" vertical="center" wrapText="1"/>
      <protection locked="0"/>
    </xf>
    <xf numFmtId="49" fontId="0" fillId="36" borderId="9" xfId="100" applyNumberFormat="1" applyFont="1" applyFill="1" applyBorder="1" applyAlignment="1" applyProtection="1">
      <alignment horizontal="left" vertical="center" wrapText="1" indent="1"/>
      <protection locked="0"/>
    </xf>
    <xf numFmtId="49" fontId="0" fillId="36" borderId="9" xfId="100" applyNumberFormat="1" applyFont="1" applyFill="1" applyBorder="1" applyAlignment="1" applyProtection="1">
      <alignment vertical="center" wrapText="1"/>
      <protection locked="0"/>
    </xf>
    <xf numFmtId="49" fontId="0" fillId="36" borderId="9" xfId="100" applyNumberFormat="1" applyFont="1" applyFill="1" applyBorder="1" applyAlignment="1" applyProtection="1">
      <alignment horizontal="center" vertical="center" wrapText="1"/>
      <protection locked="0"/>
    </xf>
    <xf numFmtId="4" fontId="10" fillId="36" borderId="7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49" fontId="29" fillId="45" borderId="85" xfId="100" applyNumberFormat="1" applyFont="1" applyFill="1" applyBorder="1" applyAlignment="1" applyProtection="1">
      <alignment horizontal="center" vertical="center"/>
      <protection/>
    </xf>
    <xf numFmtId="0" fontId="29" fillId="0" borderId="93" xfId="100" applyFont="1" applyFill="1" applyBorder="1" applyAlignment="1" applyProtection="1">
      <alignment horizontal="center" vertical="center"/>
      <protection/>
    </xf>
    <xf numFmtId="4" fontId="29" fillId="0" borderId="63" xfId="100" applyNumberFormat="1" applyFont="1" applyFill="1" applyBorder="1" applyAlignment="1" applyProtection="1">
      <alignment horizontal="center" vertical="center" wrapText="1"/>
      <protection/>
    </xf>
    <xf numFmtId="4" fontId="29" fillId="36" borderId="31" xfId="100" applyNumberFormat="1" applyFont="1" applyFill="1" applyBorder="1" applyAlignment="1" applyProtection="1">
      <alignment horizontal="center" vertical="center" wrapText="1"/>
      <protection locked="0"/>
    </xf>
    <xf numFmtId="4" fontId="29" fillId="0" borderId="91" xfId="100" applyNumberFormat="1" applyFont="1" applyFill="1" applyBorder="1" applyAlignment="1" applyProtection="1">
      <alignment horizontal="center" vertical="center" wrapText="1"/>
      <protection/>
    </xf>
    <xf numFmtId="4" fontId="29" fillId="0" borderId="29" xfId="100" applyNumberFormat="1" applyFont="1" applyFill="1" applyBorder="1" applyAlignment="1" applyProtection="1">
      <alignment horizontal="center" vertical="center" wrapText="1"/>
      <protection/>
    </xf>
    <xf numFmtId="4" fontId="29" fillId="36" borderId="70" xfId="100" applyNumberFormat="1" applyFont="1" applyFill="1" applyBorder="1" applyAlignment="1" applyProtection="1">
      <alignment horizontal="center" vertical="center" wrapText="1"/>
      <protection locked="0"/>
    </xf>
    <xf numFmtId="0" fontId="29" fillId="54" borderId="0" xfId="100" applyFont="1" applyFill="1" applyBorder="1" applyAlignment="1" applyProtection="1">
      <alignment horizontal="left" vertical="center" wrapText="1" indent="2"/>
      <protection/>
    </xf>
    <xf numFmtId="4" fontId="29" fillId="0" borderId="77" xfId="100" applyNumberFormat="1" applyFont="1" applyFill="1" applyBorder="1" applyAlignment="1" applyProtection="1">
      <alignment horizontal="center" vertical="center" wrapText="1"/>
      <protection/>
    </xf>
    <xf numFmtId="4" fontId="30" fillId="0" borderId="14" xfId="100" applyNumberFormat="1" applyFont="1" applyFill="1" applyBorder="1" applyAlignment="1" applyProtection="1">
      <alignment horizontal="center" vertical="center"/>
      <protection/>
    </xf>
    <xf numFmtId="4" fontId="30" fillId="0" borderId="54" xfId="100" applyNumberFormat="1" applyFont="1" applyFill="1" applyBorder="1" applyAlignment="1" applyProtection="1">
      <alignment horizontal="center" vertical="center"/>
      <protection/>
    </xf>
    <xf numFmtId="0" fontId="29" fillId="0" borderId="58" xfId="100" applyFont="1" applyBorder="1" applyAlignment="1" applyProtection="1">
      <alignment vertical="center" wrapText="1"/>
      <protection/>
    </xf>
    <xf numFmtId="0" fontId="30" fillId="0" borderId="58" xfId="100" applyFont="1" applyFill="1" applyBorder="1" applyAlignment="1" applyProtection="1">
      <alignment vertical="center" wrapText="1"/>
      <protection/>
    </xf>
    <xf numFmtId="0" fontId="29" fillId="0" borderId="58" xfId="100" applyFont="1" applyFill="1" applyBorder="1" applyAlignment="1" applyProtection="1">
      <alignment vertical="center" wrapText="1"/>
      <protection/>
    </xf>
    <xf numFmtId="0" fontId="30" fillId="0" borderId="83" xfId="100" applyFont="1" applyFill="1" applyBorder="1" applyAlignment="1" applyProtection="1">
      <alignment vertical="center" wrapText="1"/>
      <protection/>
    </xf>
    <xf numFmtId="4" fontId="29" fillId="36" borderId="34" xfId="100" applyNumberFormat="1" applyFont="1" applyFill="1" applyBorder="1" applyAlignment="1" applyProtection="1">
      <alignment horizontal="center" vertical="center" wrapText="1"/>
      <protection locked="0"/>
    </xf>
    <xf numFmtId="4" fontId="29" fillId="36" borderId="44" xfId="100" applyNumberFormat="1" applyFont="1" applyFill="1" applyBorder="1" applyAlignment="1" applyProtection="1">
      <alignment horizontal="center" vertical="center" wrapText="1"/>
      <protection locked="0"/>
    </xf>
    <xf numFmtId="0" fontId="41" fillId="0" borderId="81" xfId="100" applyFont="1" applyFill="1" applyBorder="1" applyAlignment="1" applyProtection="1">
      <alignment vertical="center" wrapText="1"/>
      <protection/>
    </xf>
    <xf numFmtId="0" fontId="29" fillId="0" borderId="83" xfId="100" applyFont="1" applyFill="1" applyBorder="1" applyAlignment="1" applyProtection="1">
      <alignment vertical="center" wrapText="1"/>
      <protection/>
    </xf>
    <xf numFmtId="4" fontId="29" fillId="44" borderId="58" xfId="100" applyNumberFormat="1" applyFont="1" applyFill="1" applyBorder="1" applyAlignment="1" applyProtection="1">
      <alignment horizontal="center" vertical="center"/>
      <protection/>
    </xf>
    <xf numFmtId="0" fontId="132" fillId="0" borderId="9" xfId="0" applyFont="1" applyBorder="1" applyAlignment="1">
      <alignment vertical="center" wrapText="1"/>
    </xf>
    <xf numFmtId="0" fontId="135" fillId="0" borderId="9" xfId="0" applyFont="1" applyBorder="1" applyAlignment="1">
      <alignment horizontal="center" vertical="center" wrapText="1"/>
    </xf>
    <xf numFmtId="4" fontId="132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28" fillId="36" borderId="19" xfId="115" applyFont="1" applyFill="1" applyBorder="1" applyAlignment="1" applyProtection="1">
      <alignment horizontal="center" vertical="center"/>
      <protection/>
    </xf>
    <xf numFmtId="0" fontId="28" fillId="36" borderId="19" xfId="115" applyFont="1" applyFill="1" applyBorder="1" applyAlignment="1" applyProtection="1">
      <alignment horizontal="center" vertical="center" wrapText="1"/>
      <protection/>
    </xf>
    <xf numFmtId="49" fontId="3" fillId="36" borderId="19" xfId="115" applyNumberFormat="1" applyFont="1" applyFill="1" applyBorder="1" applyAlignment="1" applyProtection="1">
      <alignment horizontal="center" vertical="center" wrapText="1"/>
      <protection/>
    </xf>
    <xf numFmtId="0" fontId="3" fillId="41" borderId="0" xfId="115" applyFont="1" applyFill="1" applyBorder="1" applyAlignment="1" applyProtection="1">
      <alignment horizontal="right" vertical="center" wrapText="1" indent="1"/>
      <protection locked="0"/>
    </xf>
    <xf numFmtId="1" fontId="31" fillId="0" borderId="0" xfId="100" applyNumberFormat="1" applyFont="1" applyFill="1" applyBorder="1" applyAlignment="1" applyProtection="1">
      <alignment horizontal="center" vertical="center" wrapText="1"/>
      <protection/>
    </xf>
    <xf numFmtId="4" fontId="29" fillId="0" borderId="75" xfId="100" applyNumberFormat="1" applyFont="1" applyFill="1" applyBorder="1" applyAlignment="1" applyProtection="1">
      <alignment horizontal="center" vertical="center" wrapText="1"/>
      <protection/>
    </xf>
    <xf numFmtId="4" fontId="29" fillId="0" borderId="83" xfId="100" applyNumberFormat="1" applyFont="1" applyFill="1" applyBorder="1" applyAlignment="1" applyProtection="1">
      <alignment horizontal="center" vertical="center"/>
      <protection/>
    </xf>
    <xf numFmtId="4" fontId="29" fillId="0" borderId="81" xfId="100" applyNumberFormat="1" applyFont="1" applyFill="1" applyBorder="1" applyAlignment="1" applyProtection="1">
      <alignment horizontal="center" vertical="center" wrapText="1"/>
      <protection/>
    </xf>
    <xf numFmtId="4" fontId="29" fillId="0" borderId="81" xfId="100" applyNumberFormat="1" applyFont="1" applyFill="1" applyBorder="1" applyAlignment="1" applyProtection="1">
      <alignment horizontal="center" vertical="center"/>
      <protection/>
    </xf>
    <xf numFmtId="2" fontId="130" fillId="0" borderId="0" xfId="100" applyNumberFormat="1" applyFont="1" applyFill="1" applyBorder="1" applyAlignment="1" applyProtection="1">
      <alignment horizontal="center" vertical="center" wrapText="1"/>
      <protection/>
    </xf>
    <xf numFmtId="4" fontId="29" fillId="0" borderId="75" xfId="100" applyNumberFormat="1" applyFont="1" applyFill="1" applyBorder="1" applyAlignment="1" applyProtection="1">
      <alignment horizontal="center" vertical="center"/>
      <protection/>
    </xf>
    <xf numFmtId="4" fontId="64" fillId="0" borderId="81" xfId="100" applyNumberFormat="1" applyFont="1" applyFill="1" applyBorder="1" applyAlignment="1" applyProtection="1">
      <alignment horizontal="center" vertical="center" wrapText="1"/>
      <protection/>
    </xf>
    <xf numFmtId="4" fontId="130" fillId="0" borderId="58" xfId="100" applyNumberFormat="1" applyFont="1" applyFill="1" applyBorder="1" applyAlignment="1" applyProtection="1">
      <alignment horizontal="center" vertical="center"/>
      <protection/>
    </xf>
    <xf numFmtId="4" fontId="64" fillId="0" borderId="58" xfId="100" applyNumberFormat="1" applyFont="1" applyFill="1" applyBorder="1" applyAlignment="1" applyProtection="1">
      <alignment horizontal="center" vertical="center" wrapText="1"/>
      <protection/>
    </xf>
    <xf numFmtId="4" fontId="31" fillId="0" borderId="75" xfId="100" applyNumberFormat="1" applyFont="1" applyFill="1" applyBorder="1" applyAlignment="1" applyProtection="1">
      <alignment horizontal="center" vertical="center"/>
      <protection/>
    </xf>
    <xf numFmtId="4" fontId="31" fillId="0" borderId="91" xfId="100" applyNumberFormat="1" applyFont="1" applyFill="1" applyBorder="1" applyAlignment="1" applyProtection="1">
      <alignment horizontal="center" vertical="center"/>
      <protection/>
    </xf>
    <xf numFmtId="4" fontId="18" fillId="0" borderId="48" xfId="100" applyNumberFormat="1" applyFont="1" applyFill="1" applyBorder="1" applyAlignment="1" applyProtection="1">
      <alignment horizontal="center" vertical="center"/>
      <protection/>
    </xf>
    <xf numFmtId="4" fontId="29" fillId="44" borderId="75" xfId="100" applyNumberFormat="1" applyFont="1" applyFill="1" applyBorder="1" applyAlignment="1" applyProtection="1">
      <alignment horizontal="center" vertical="center"/>
      <protection/>
    </xf>
    <xf numFmtId="4" fontId="29" fillId="44" borderId="88" xfId="100" applyNumberFormat="1" applyFont="1" applyFill="1" applyBorder="1" applyAlignment="1" applyProtection="1">
      <alignment horizontal="center" vertical="center"/>
      <protection/>
    </xf>
    <xf numFmtId="0" fontId="29" fillId="41" borderId="91" xfId="100" applyFont="1" applyFill="1" applyBorder="1" applyAlignment="1" applyProtection="1">
      <alignment horizontal="center" vertical="center"/>
      <protection/>
    </xf>
    <xf numFmtId="4" fontId="29" fillId="44" borderId="0" xfId="100" applyNumberFormat="1" applyFont="1" applyFill="1" applyBorder="1" applyAlignment="1" applyProtection="1">
      <alignment horizontal="center" vertical="center"/>
      <protection/>
    </xf>
    <xf numFmtId="0" fontId="29" fillId="0" borderId="42" xfId="100" applyFont="1" applyFill="1" applyBorder="1" applyAlignment="1" applyProtection="1">
      <alignment horizontal="center" vertical="center"/>
      <protection/>
    </xf>
    <xf numFmtId="4" fontId="29" fillId="44" borderId="81" xfId="100" applyNumberFormat="1" applyFont="1" applyFill="1" applyBorder="1" applyAlignment="1" applyProtection="1">
      <alignment horizontal="center" vertical="center"/>
      <protection/>
    </xf>
    <xf numFmtId="4" fontId="29" fillId="44" borderId="83" xfId="100" applyNumberFormat="1" applyFont="1" applyFill="1" applyBorder="1" applyAlignment="1" applyProtection="1">
      <alignment horizontal="center" vertical="center"/>
      <protection/>
    </xf>
    <xf numFmtId="0" fontId="29" fillId="0" borderId="0" xfId="100" applyFont="1" applyFill="1" applyBorder="1" applyAlignment="1" applyProtection="1">
      <alignment horizontal="left" vertical="center"/>
      <protection/>
    </xf>
    <xf numFmtId="0" fontId="32" fillId="0" borderId="0" xfId="100" applyFont="1" applyFill="1" applyBorder="1" applyAlignment="1" applyProtection="1">
      <alignment horizontal="center" vertical="center"/>
      <protection/>
    </xf>
    <xf numFmtId="0" fontId="31" fillId="0" borderId="0" xfId="118" applyFont="1" applyBorder="1" applyAlignment="1" applyProtection="1">
      <alignment horizontal="center" vertical="center" wrapText="1"/>
      <protection/>
    </xf>
    <xf numFmtId="0" fontId="29" fillId="0" borderId="81" xfId="100" applyFont="1" applyFill="1" applyBorder="1" applyAlignment="1" applyProtection="1">
      <alignment horizontal="center" vertical="center"/>
      <protection/>
    </xf>
    <xf numFmtId="49" fontId="29" fillId="0" borderId="88" xfId="113" applyNumberFormat="1" applyFont="1" applyFill="1" applyBorder="1" applyAlignment="1" applyProtection="1">
      <alignment horizontal="center" vertical="center" wrapText="1"/>
      <protection/>
    </xf>
    <xf numFmtId="49" fontId="31" fillId="0" borderId="48" xfId="113" applyNumberFormat="1" applyFont="1" applyFill="1" applyBorder="1" applyAlignment="1" applyProtection="1">
      <alignment horizontal="center" vertical="center" wrapText="1"/>
      <protection/>
    </xf>
    <xf numFmtId="0" fontId="29" fillId="0" borderId="82" xfId="100" applyFont="1" applyFill="1" applyBorder="1" applyAlignment="1" applyProtection="1">
      <alignment horizontal="center" vertical="center"/>
      <protection/>
    </xf>
    <xf numFmtId="49" fontId="29" fillId="0" borderId="93" xfId="113" applyNumberFormat="1" applyFont="1" applyFill="1" applyBorder="1" applyAlignment="1" applyProtection="1">
      <alignment horizontal="center" vertical="center" wrapText="1"/>
      <protection/>
    </xf>
    <xf numFmtId="0" fontId="31" fillId="0" borderId="48" xfId="100" applyFont="1" applyFill="1" applyBorder="1" applyAlignment="1" applyProtection="1">
      <alignment horizontal="center" vertical="center"/>
      <protection/>
    </xf>
    <xf numFmtId="0" fontId="41" fillId="0" borderId="81" xfId="100" applyFont="1" applyFill="1" applyBorder="1" applyAlignment="1" applyProtection="1">
      <alignment horizontal="center" vertical="center"/>
      <protection/>
    </xf>
    <xf numFmtId="0" fontId="29" fillId="0" borderId="58" xfId="100" applyFont="1" applyFill="1" applyBorder="1" applyAlignment="1" applyProtection="1">
      <alignment horizontal="center" vertical="center"/>
      <protection/>
    </xf>
    <xf numFmtId="0" fontId="29" fillId="0" borderId="83" xfId="100" applyFont="1" applyFill="1" applyBorder="1" applyAlignment="1" applyProtection="1">
      <alignment horizontal="center" vertical="center"/>
      <protection/>
    </xf>
    <xf numFmtId="0" fontId="29" fillId="0" borderId="48" xfId="100" applyFont="1" applyFill="1" applyBorder="1" applyAlignment="1" applyProtection="1">
      <alignment horizontal="center" vertical="center"/>
      <protection/>
    </xf>
    <xf numFmtId="2" fontId="29" fillId="0" borderId="0" xfId="100" applyNumberFormat="1" applyFont="1" applyFill="1" applyBorder="1" applyAlignment="1" applyProtection="1">
      <alignment horizontal="center" vertical="center"/>
      <protection/>
    </xf>
    <xf numFmtId="0" fontId="29" fillId="0" borderId="79" xfId="100" applyFont="1" applyFill="1" applyBorder="1" applyAlignment="1" applyProtection="1">
      <alignment horizontal="center" vertical="center"/>
      <protection/>
    </xf>
    <xf numFmtId="0" fontId="29" fillId="0" borderId="0" xfId="100" applyFont="1" applyFill="1" applyBorder="1" applyAlignment="1" applyProtection="1">
      <alignment horizontal="center" vertical="center"/>
      <protection/>
    </xf>
    <xf numFmtId="0" fontId="64" fillId="0" borderId="81" xfId="100" applyFont="1" applyFill="1" applyBorder="1" applyAlignment="1" applyProtection="1">
      <alignment horizontal="center" vertical="center" wrapText="1"/>
      <protection/>
    </xf>
    <xf numFmtId="0" fontId="64" fillId="0" borderId="58" xfId="100" applyFont="1" applyFill="1" applyBorder="1" applyAlignment="1" applyProtection="1">
      <alignment horizontal="center" vertical="center" wrapText="1"/>
      <protection/>
    </xf>
    <xf numFmtId="0" fontId="31" fillId="0" borderId="67" xfId="100" applyFont="1" applyFill="1" applyBorder="1" applyAlignment="1" applyProtection="1">
      <alignment horizontal="center" vertical="center"/>
      <protection/>
    </xf>
    <xf numFmtId="49" fontId="29" fillId="0" borderId="79" xfId="113" applyNumberFormat="1" applyFont="1" applyFill="1" applyBorder="1" applyAlignment="1" applyProtection="1">
      <alignment horizontal="center" vertical="center" wrapText="1"/>
      <protection/>
    </xf>
    <xf numFmtId="0" fontId="31" fillId="41" borderId="93" xfId="100" applyFont="1" applyFill="1" applyBorder="1" applyAlignment="1" applyProtection="1">
      <alignment horizontal="center" vertical="center"/>
      <protection/>
    </xf>
    <xf numFmtId="0" fontId="31" fillId="0" borderId="93" xfId="100" applyFont="1" applyFill="1" applyBorder="1" applyAlignment="1" applyProtection="1">
      <alignment horizontal="center" vertical="center"/>
      <protection/>
    </xf>
    <xf numFmtId="0" fontId="29" fillId="41" borderId="63" xfId="100" applyFont="1" applyFill="1" applyBorder="1" applyAlignment="1" applyProtection="1">
      <alignment horizontal="center" vertical="center"/>
      <protection/>
    </xf>
    <xf numFmtId="0" fontId="31" fillId="41" borderId="67" xfId="100" applyFont="1" applyFill="1" applyBorder="1" applyAlignment="1" applyProtection="1">
      <alignment horizontal="center" vertical="center"/>
      <protection/>
    </xf>
    <xf numFmtId="0" fontId="31" fillId="41" borderId="63" xfId="100" applyFont="1" applyFill="1" applyBorder="1" applyAlignment="1" applyProtection="1">
      <alignment horizontal="center" vertical="center"/>
      <protection/>
    </xf>
    <xf numFmtId="0" fontId="31" fillId="46" borderId="63" xfId="100" applyFont="1" applyFill="1" applyBorder="1" applyAlignment="1" applyProtection="1">
      <alignment horizontal="center" vertical="center"/>
      <protection/>
    </xf>
    <xf numFmtId="49" fontId="29" fillId="46" borderId="41" xfId="113" applyNumberFormat="1" applyFont="1" applyFill="1" applyBorder="1" applyAlignment="1" applyProtection="1">
      <alignment horizontal="center" vertical="center" wrapText="1"/>
      <protection/>
    </xf>
    <xf numFmtId="0" fontId="29" fillId="0" borderId="41" xfId="100" applyFont="1" applyFill="1" applyBorder="1" applyAlignment="1" applyProtection="1">
      <alignment horizontal="center" vertical="center"/>
      <protection/>
    </xf>
    <xf numFmtId="49" fontId="29" fillId="0" borderId="41" xfId="113" applyNumberFormat="1" applyFont="1" applyFill="1" applyBorder="1" applyAlignment="1" applyProtection="1">
      <alignment horizontal="center" vertical="center" wrapText="1"/>
      <protection/>
    </xf>
    <xf numFmtId="0" fontId="29" fillId="44" borderId="22" xfId="100" applyFont="1" applyFill="1" applyBorder="1" applyAlignment="1" applyProtection="1">
      <alignment horizontal="center" vertical="center"/>
      <protection/>
    </xf>
    <xf numFmtId="0" fontId="29" fillId="44" borderId="25" xfId="98" applyFont="1" applyFill="1" applyBorder="1" applyAlignment="1" applyProtection="1">
      <alignment horizontal="center" vertical="center"/>
      <protection/>
    </xf>
    <xf numFmtId="0" fontId="29" fillId="44" borderId="26" xfId="98" applyFont="1" applyFill="1" applyBorder="1" applyAlignment="1" applyProtection="1">
      <alignment horizontal="center" vertical="center"/>
      <protection/>
    </xf>
    <xf numFmtId="0" fontId="29" fillId="44" borderId="74" xfId="98" applyFont="1" applyFill="1" applyBorder="1" applyAlignment="1" applyProtection="1">
      <alignment horizontal="center" vertical="center"/>
      <protection/>
    </xf>
    <xf numFmtId="0" fontId="29" fillId="44" borderId="38" xfId="98" applyFont="1" applyFill="1" applyBorder="1" applyAlignment="1" applyProtection="1">
      <alignment horizontal="center" vertical="center"/>
      <protection/>
    </xf>
    <xf numFmtId="4" fontId="30" fillId="0" borderId="25" xfId="100" applyNumberFormat="1" applyFont="1" applyFill="1" applyBorder="1" applyAlignment="1" applyProtection="1">
      <alignment horizontal="center" vertical="center"/>
      <protection/>
    </xf>
    <xf numFmtId="4" fontId="29" fillId="0" borderId="28" xfId="100" applyNumberFormat="1" applyFont="1" applyFill="1" applyBorder="1" applyAlignment="1" applyProtection="1">
      <alignment horizontal="center" vertical="center"/>
      <protection/>
    </xf>
    <xf numFmtId="2" fontId="130" fillId="0" borderId="74" xfId="100" applyNumberFormat="1" applyFont="1" applyFill="1" applyBorder="1" applyAlignment="1" applyProtection="1">
      <alignment horizontal="center" vertical="center"/>
      <protection/>
    </xf>
    <xf numFmtId="4" fontId="29" fillId="0" borderId="77" xfId="100" applyNumberFormat="1" applyFont="1" applyFill="1" applyBorder="1" applyAlignment="1" applyProtection="1">
      <alignment horizontal="center" vertical="center"/>
      <protection/>
    </xf>
    <xf numFmtId="4" fontId="29" fillId="0" borderId="89" xfId="100" applyNumberFormat="1" applyFont="1" applyFill="1" applyBorder="1" applyAlignment="1" applyProtection="1">
      <alignment horizontal="center" vertical="center"/>
      <protection/>
    </xf>
    <xf numFmtId="4" fontId="31" fillId="0" borderId="28" xfId="100" applyNumberFormat="1" applyFont="1" applyFill="1" applyBorder="1" applyAlignment="1" applyProtection="1">
      <alignment horizontal="center" vertical="center"/>
      <protection/>
    </xf>
    <xf numFmtId="4" fontId="29" fillId="0" borderId="63" xfId="100" applyNumberFormat="1" applyFont="1" applyFill="1" applyBorder="1" applyAlignment="1" applyProtection="1">
      <alignment horizontal="center" vertical="center"/>
      <protection/>
    </xf>
    <xf numFmtId="4" fontId="29" fillId="0" borderId="39" xfId="100" applyNumberFormat="1" applyFont="1" applyFill="1" applyBorder="1" applyAlignment="1" applyProtection="1">
      <alignment horizontal="center" vertical="center"/>
      <protection/>
    </xf>
    <xf numFmtId="4" fontId="29" fillId="0" borderId="30" xfId="100" applyNumberFormat="1" applyFont="1" applyFill="1" applyBorder="1" applyAlignment="1" applyProtection="1">
      <alignment horizontal="center" vertical="center"/>
      <protection/>
    </xf>
    <xf numFmtId="4" fontId="29" fillId="0" borderId="79" xfId="100" applyNumberFormat="1" applyFont="1" applyFill="1" applyBorder="1" applyAlignment="1" applyProtection="1">
      <alignment horizontal="center" vertical="center" wrapText="1"/>
      <protection/>
    </xf>
    <xf numFmtId="4" fontId="29" fillId="0" borderId="65" xfId="100" applyNumberFormat="1" applyFont="1" applyFill="1" applyBorder="1" applyAlignment="1" applyProtection="1">
      <alignment horizontal="center" vertical="center" wrapText="1"/>
      <protection/>
    </xf>
    <xf numFmtId="4" fontId="31" fillId="0" borderId="41" xfId="100" applyNumberFormat="1" applyFont="1" applyFill="1" applyBorder="1" applyAlignment="1" applyProtection="1">
      <alignment horizontal="center" vertical="center" wrapText="1"/>
      <protection/>
    </xf>
    <xf numFmtId="4" fontId="31" fillId="0" borderId="28" xfId="100" applyNumberFormat="1" applyFont="1" applyFill="1" applyBorder="1" applyAlignment="1" applyProtection="1">
      <alignment horizontal="center" vertical="center" wrapText="1"/>
      <protection/>
    </xf>
    <xf numFmtId="4" fontId="31" fillId="0" borderId="30" xfId="100" applyNumberFormat="1" applyFont="1" applyFill="1" applyBorder="1" applyAlignment="1" applyProtection="1">
      <alignment horizontal="center" vertical="center" wrapText="1"/>
      <protection/>
    </xf>
    <xf numFmtId="4" fontId="130" fillId="0" borderId="54" xfId="100" applyNumberFormat="1" applyFont="1" applyFill="1" applyBorder="1" applyAlignment="1" applyProtection="1">
      <alignment horizontal="center" vertical="center" wrapText="1"/>
      <protection/>
    </xf>
    <xf numFmtId="4" fontId="29" fillId="0" borderId="83" xfId="100" applyNumberFormat="1" applyFont="1" applyFill="1" applyBorder="1" applyAlignment="1" applyProtection="1">
      <alignment horizontal="center" vertical="center" wrapText="1"/>
      <protection/>
    </xf>
    <xf numFmtId="4" fontId="31" fillId="0" borderId="48" xfId="100" applyNumberFormat="1" applyFont="1" applyFill="1" applyBorder="1" applyAlignment="1" applyProtection="1">
      <alignment horizontal="center" vertical="center" wrapText="1"/>
      <protection/>
    </xf>
    <xf numFmtId="4" fontId="30" fillId="0" borderId="58" xfId="100" applyNumberFormat="1" applyFont="1" applyFill="1" applyBorder="1" applyAlignment="1" applyProtection="1">
      <alignment horizontal="center" vertical="center"/>
      <protection/>
    </xf>
    <xf numFmtId="4" fontId="29" fillId="0" borderId="88" xfId="100" applyNumberFormat="1" applyFont="1" applyFill="1" applyBorder="1" applyAlignment="1" applyProtection="1">
      <alignment horizontal="center" vertical="center" wrapText="1"/>
      <protection/>
    </xf>
    <xf numFmtId="4" fontId="31" fillId="0" borderId="91" xfId="100" applyNumberFormat="1" applyFont="1" applyFill="1" applyBorder="1" applyAlignment="1" applyProtection="1">
      <alignment horizontal="center" vertical="center" wrapText="1"/>
      <protection/>
    </xf>
    <xf numFmtId="4" fontId="130" fillId="0" borderId="58" xfId="100" applyNumberFormat="1" applyFont="1" applyFill="1" applyBorder="1" applyAlignment="1" applyProtection="1">
      <alignment horizontal="center" vertical="center" wrapText="1"/>
      <protection/>
    </xf>
    <xf numFmtId="4" fontId="29" fillId="0" borderId="91" xfId="100" applyNumberFormat="1" applyFont="1" applyFill="1" applyBorder="1" applyAlignment="1" applyProtection="1">
      <alignment horizontal="center" vertical="center"/>
      <protection/>
    </xf>
    <xf numFmtId="4" fontId="30" fillId="38" borderId="9" xfId="100" applyNumberFormat="1" applyFont="1" applyFill="1" applyBorder="1" applyAlignment="1" applyProtection="1">
      <alignment horizontal="center" vertical="center"/>
      <protection locked="0"/>
    </xf>
    <xf numFmtId="4" fontId="29" fillId="40" borderId="9" xfId="117" applyNumberFormat="1" applyFont="1" applyFill="1" applyBorder="1" applyAlignment="1" applyProtection="1">
      <alignment horizontal="center" vertical="center" wrapText="1"/>
      <protection locked="0"/>
    </xf>
    <xf numFmtId="4" fontId="31" fillId="0" borderId="9" xfId="100" applyNumberFormat="1" applyFont="1" applyFill="1" applyBorder="1" applyAlignment="1" applyProtection="1">
      <alignment horizontal="center" vertical="center"/>
      <protection locked="0"/>
    </xf>
    <xf numFmtId="4" fontId="31" fillId="0" borderId="9" xfId="100" applyNumberFormat="1" applyFont="1" applyBorder="1" applyAlignment="1" applyProtection="1">
      <alignment horizontal="center" vertical="center"/>
      <protection locked="0"/>
    </xf>
    <xf numFmtId="0" fontId="29" fillId="0" borderId="9" xfId="100" applyFont="1" applyBorder="1" applyAlignment="1" applyProtection="1">
      <alignment vertical="center"/>
      <protection locked="0"/>
    </xf>
    <xf numFmtId="4" fontId="31" fillId="38" borderId="9" xfId="100" applyNumberFormat="1" applyFont="1" applyFill="1" applyBorder="1" applyAlignment="1" applyProtection="1">
      <alignment horizontal="center" vertical="center"/>
      <protection locked="0"/>
    </xf>
    <xf numFmtId="0" fontId="132" fillId="0" borderId="0" xfId="0" applyFont="1" applyAlignment="1">
      <alignment/>
    </xf>
    <xf numFmtId="0" fontId="132" fillId="0" borderId="0" xfId="0" applyFont="1" applyAlignment="1">
      <alignment vertical="center"/>
    </xf>
    <xf numFmtId="0" fontId="132" fillId="0" borderId="18" xfId="0" applyFont="1" applyBorder="1" applyAlignment="1">
      <alignment horizontal="center" vertical="center" wrapText="1"/>
    </xf>
    <xf numFmtId="0" fontId="132" fillId="0" borderId="9" xfId="0" applyFont="1" applyBorder="1" applyAlignment="1">
      <alignment horizontal="center" vertical="center"/>
    </xf>
    <xf numFmtId="0" fontId="132" fillId="0" borderId="9" xfId="0" applyFont="1" applyFill="1" applyBorder="1" applyAlignment="1" applyProtection="1">
      <alignment horizontal="center" vertical="center" wrapText="1"/>
      <protection/>
    </xf>
    <xf numFmtId="4" fontId="132" fillId="36" borderId="9" xfId="0" applyNumberFormat="1" applyFont="1" applyFill="1" applyBorder="1" applyAlignment="1" applyProtection="1">
      <alignment horizontal="center" vertical="center" wrapText="1"/>
      <protection locked="0"/>
    </xf>
    <xf numFmtId="0" fontId="135" fillId="0" borderId="9" xfId="0" applyFont="1" applyBorder="1" applyAlignment="1">
      <alignment horizontal="center" vertical="center"/>
    </xf>
    <xf numFmtId="0" fontId="135" fillId="0" borderId="9" xfId="0" applyFont="1" applyBorder="1" applyAlignment="1">
      <alignment vertical="center" wrapText="1"/>
    </xf>
    <xf numFmtId="0" fontId="135" fillId="0" borderId="9" xfId="0" applyFont="1" applyFill="1" applyBorder="1" applyAlignment="1" applyProtection="1">
      <alignment horizontal="center" vertical="center" wrapText="1"/>
      <protection/>
    </xf>
    <xf numFmtId="4" fontId="135" fillId="0" borderId="9" xfId="0" applyNumberFormat="1" applyFont="1" applyFill="1" applyBorder="1" applyAlignment="1" applyProtection="1">
      <alignment horizontal="center" vertical="center" wrapText="1"/>
      <protection/>
    </xf>
    <xf numFmtId="0" fontId="135" fillId="0" borderId="0" xfId="0" applyFont="1" applyAlignment="1">
      <alignment vertical="center"/>
    </xf>
    <xf numFmtId="0" fontId="132" fillId="36" borderId="9" xfId="0" applyFont="1" applyFill="1" applyBorder="1" applyAlignment="1" applyProtection="1">
      <alignment horizontal="left" vertical="center" wrapText="1"/>
      <protection locked="0"/>
    </xf>
    <xf numFmtId="0" fontId="132" fillId="36" borderId="9" xfId="0" applyFont="1" applyFill="1" applyBorder="1" applyAlignment="1" applyProtection="1">
      <alignment horizontal="center" vertical="center" wrapText="1"/>
      <protection locked="0"/>
    </xf>
    <xf numFmtId="14" fontId="132" fillId="36" borderId="9" xfId="0" applyNumberFormat="1" applyFont="1" applyFill="1" applyBorder="1" applyAlignment="1" applyProtection="1">
      <alignment horizontal="center" vertical="center" wrapText="1"/>
      <protection locked="0"/>
    </xf>
    <xf numFmtId="4" fontId="36" fillId="40" borderId="9" xfId="88" applyNumberFormat="1" applyFont="1" applyFill="1" applyBorder="1" applyAlignment="1" applyProtection="1">
      <alignment horizontal="left" vertical="center"/>
      <protection/>
    </xf>
    <xf numFmtId="0" fontId="132" fillId="0" borderId="0" xfId="0" applyFont="1" applyAlignment="1">
      <alignment horizontal="center" vertical="center"/>
    </xf>
    <xf numFmtId="0" fontId="132" fillId="0" borderId="0" xfId="0" applyFont="1" applyAlignment="1">
      <alignment vertical="center" wrapText="1"/>
    </xf>
    <xf numFmtId="0" fontId="132" fillId="0" borderId="0" xfId="0" applyFont="1" applyAlignment="1">
      <alignment horizontal="center" vertical="center" wrapText="1"/>
    </xf>
    <xf numFmtId="4" fontId="132" fillId="0" borderId="0" xfId="0" applyNumberFormat="1" applyFont="1" applyAlignment="1">
      <alignment horizontal="center" vertical="center" wrapText="1"/>
    </xf>
    <xf numFmtId="0" fontId="132" fillId="0" borderId="0" xfId="100" applyFont="1" applyFill="1" applyBorder="1" applyAlignment="1">
      <alignment vertical="center"/>
      <protection/>
    </xf>
    <xf numFmtId="0" fontId="132" fillId="0" borderId="0" xfId="0" applyFont="1" applyAlignment="1">
      <alignment horizontal="center"/>
    </xf>
    <xf numFmtId="4" fontId="132" fillId="0" borderId="0" xfId="0" applyNumberFormat="1" applyFont="1" applyAlignment="1">
      <alignment horizontal="center"/>
    </xf>
    <xf numFmtId="0" fontId="10" fillId="0" borderId="0" xfId="100" applyFont="1" applyBorder="1" applyAlignment="1">
      <alignment horizontal="left" vertical="center"/>
      <protection/>
    </xf>
    <xf numFmtId="0" fontId="132" fillId="0" borderId="0" xfId="0" applyFont="1" applyFill="1" applyAlignment="1">
      <alignment horizontal="center"/>
    </xf>
    <xf numFmtId="0" fontId="132" fillId="0" borderId="0" xfId="0" applyFont="1" applyAlignment="1">
      <alignment wrapText="1"/>
    </xf>
    <xf numFmtId="0" fontId="132" fillId="0" borderId="0" xfId="0" applyFont="1" applyAlignment="1">
      <alignment horizontal="center" wrapText="1"/>
    </xf>
    <xf numFmtId="4" fontId="132" fillId="0" borderId="0" xfId="0" applyNumberFormat="1" applyFont="1" applyAlignment="1">
      <alignment horizontal="center" wrapText="1"/>
    </xf>
    <xf numFmtId="0" fontId="63" fillId="0" borderId="0" xfId="94" applyFont="1" applyProtection="1">
      <alignment/>
      <protection/>
    </xf>
    <xf numFmtId="0" fontId="12" fillId="0" borderId="0" xfId="94" applyFont="1" applyProtection="1">
      <alignment/>
      <protection/>
    </xf>
    <xf numFmtId="0" fontId="10" fillId="0" borderId="0" xfId="94" applyFont="1" applyBorder="1" applyAlignment="1" applyProtection="1">
      <alignment/>
      <protection/>
    </xf>
    <xf numFmtId="0" fontId="10" fillId="0" borderId="0" xfId="94" applyFont="1" applyAlignment="1" applyProtection="1">
      <alignment/>
      <protection/>
    </xf>
    <xf numFmtId="0" fontId="10" fillId="36" borderId="0" xfId="94" applyFont="1" applyFill="1" applyBorder="1" applyAlignment="1" applyProtection="1">
      <alignment/>
      <protection locked="0"/>
    </xf>
    <xf numFmtId="0" fontId="10" fillId="0" borderId="0" xfId="94" applyFont="1" applyProtection="1">
      <alignment/>
      <protection/>
    </xf>
    <xf numFmtId="0" fontId="10" fillId="0" borderId="0" xfId="94" applyFont="1" applyAlignment="1" applyProtection="1">
      <alignment horizontal="center"/>
      <protection/>
    </xf>
    <xf numFmtId="0" fontId="71" fillId="0" borderId="0" xfId="94" applyFont="1" applyProtection="1">
      <alignment/>
      <protection/>
    </xf>
    <xf numFmtId="0" fontId="80" fillId="0" borderId="0" xfId="94" applyFont="1" applyAlignment="1" applyProtection="1">
      <alignment vertical="center" wrapText="1"/>
      <protection/>
    </xf>
    <xf numFmtId="0" fontId="80" fillId="0" borderId="0" xfId="94" applyFont="1" applyFill="1" applyAlignment="1" applyProtection="1">
      <alignment vertical="center" wrapText="1"/>
      <protection/>
    </xf>
    <xf numFmtId="0" fontId="81" fillId="0" borderId="0" xfId="94" applyFont="1" applyAlignment="1" applyProtection="1">
      <alignment vertical="center" wrapText="1"/>
      <protection/>
    </xf>
    <xf numFmtId="0" fontId="12" fillId="0" borderId="0" xfId="94" applyFont="1" applyFill="1" applyProtection="1">
      <alignment/>
      <protection/>
    </xf>
    <xf numFmtId="0" fontId="82" fillId="0" borderId="0" xfId="94" applyFont="1" applyBorder="1" applyAlignment="1" applyProtection="1">
      <alignment horizontal="center" vertical="top"/>
      <protection/>
    </xf>
    <xf numFmtId="0" fontId="25" fillId="0" borderId="0" xfId="94" applyFont="1" applyProtection="1">
      <alignment/>
      <protection/>
    </xf>
    <xf numFmtId="0" fontId="63" fillId="0" borderId="54" xfId="94" applyFont="1" applyBorder="1" applyAlignment="1" applyProtection="1">
      <alignment horizontal="center" vertical="center" wrapText="1"/>
      <protection/>
    </xf>
    <xf numFmtId="0" fontId="12" fillId="0" borderId="54" xfId="94" applyFont="1" applyBorder="1" applyAlignment="1" applyProtection="1">
      <alignment horizontal="center" vertical="center" wrapText="1"/>
      <protection/>
    </xf>
    <xf numFmtId="0" fontId="12" fillId="0" borderId="9" xfId="94" applyFont="1" applyBorder="1" applyAlignment="1" applyProtection="1">
      <alignment horizontal="center" vertical="center" wrapText="1"/>
      <protection/>
    </xf>
    <xf numFmtId="0" fontId="82" fillId="0" borderId="0" xfId="94" applyFont="1" applyProtection="1">
      <alignment/>
      <protection/>
    </xf>
    <xf numFmtId="0" fontId="13" fillId="0" borderId="18" xfId="94" applyFont="1" applyBorder="1" applyAlignment="1" applyProtection="1">
      <alignment horizontal="center" vertical="center" wrapText="1"/>
      <protection/>
    </xf>
    <xf numFmtId="0" fontId="63" fillId="0" borderId="9" xfId="94" applyFont="1" applyBorder="1" applyAlignment="1" applyProtection="1">
      <alignment horizontal="center" vertical="center" wrapText="1"/>
      <protection/>
    </xf>
    <xf numFmtId="0" fontId="82" fillId="0" borderId="54" xfId="94" applyFont="1" applyBorder="1" applyAlignment="1" applyProtection="1">
      <alignment horizontal="center" vertical="top"/>
      <protection/>
    </xf>
    <xf numFmtId="0" fontId="82" fillId="0" borderId="9" xfId="94" applyFont="1" applyBorder="1" applyAlignment="1" applyProtection="1">
      <alignment horizontal="center" vertical="top"/>
      <protection/>
    </xf>
    <xf numFmtId="0" fontId="82" fillId="0" borderId="25" xfId="94" applyFont="1" applyBorder="1" applyAlignment="1" applyProtection="1">
      <alignment horizontal="center" vertical="top"/>
      <protection/>
    </xf>
    <xf numFmtId="49" fontId="82" fillId="0" borderId="54" xfId="94" applyNumberFormat="1" applyFont="1" applyBorder="1" applyAlignment="1" applyProtection="1">
      <alignment horizontal="center" vertical="center"/>
      <protection/>
    </xf>
    <xf numFmtId="0" fontId="13" fillId="36" borderId="9" xfId="94" applyFont="1" applyFill="1" applyBorder="1" applyAlignment="1" applyProtection="1">
      <alignment horizontal="left" vertical="center" wrapText="1"/>
      <protection locked="0"/>
    </xf>
    <xf numFmtId="0" fontId="85" fillId="36" borderId="25" xfId="94" applyFont="1" applyFill="1" applyBorder="1" applyAlignment="1" applyProtection="1">
      <alignment horizontal="left" vertical="center" wrapText="1"/>
      <protection locked="0"/>
    </xf>
    <xf numFmtId="4" fontId="85" fillId="36" borderId="25" xfId="94" applyNumberFormat="1" applyFont="1" applyFill="1" applyBorder="1" applyAlignment="1" applyProtection="1">
      <alignment horizontal="left" vertical="center" wrapText="1"/>
      <protection locked="0"/>
    </xf>
    <xf numFmtId="4" fontId="85" fillId="0" borderId="25" xfId="94" applyNumberFormat="1" applyFont="1" applyBorder="1" applyAlignment="1" applyProtection="1">
      <alignment horizontal="center" vertical="center" wrapText="1"/>
      <protection/>
    </xf>
    <xf numFmtId="0" fontId="82" fillId="36" borderId="9" xfId="94" applyFont="1" applyFill="1" applyBorder="1" applyAlignment="1" applyProtection="1">
      <alignment horizontal="center" vertical="center" wrapText="1"/>
      <protection locked="0"/>
    </xf>
    <xf numFmtId="0" fontId="82" fillId="0" borderId="0" xfId="94" applyFont="1" applyAlignment="1" applyProtection="1">
      <alignment vertical="center"/>
      <protection/>
    </xf>
    <xf numFmtId="0" fontId="13" fillId="0" borderId="9" xfId="94" applyFont="1" applyFill="1" applyBorder="1" applyAlignment="1" applyProtection="1">
      <alignment vertical="center"/>
      <protection/>
    </xf>
    <xf numFmtId="0" fontId="85" fillId="0" borderId="25" xfId="94" applyFont="1" applyFill="1" applyBorder="1" applyAlignment="1" applyProtection="1">
      <alignment horizontal="left" vertical="center" wrapText="1"/>
      <protection/>
    </xf>
    <xf numFmtId="4" fontId="85" fillId="0" borderId="25" xfId="94" applyNumberFormat="1" applyFont="1" applyFill="1" applyBorder="1" applyAlignment="1" applyProtection="1">
      <alignment horizontal="left" vertical="center" wrapText="1"/>
      <protection/>
    </xf>
    <xf numFmtId="0" fontId="82" fillId="0" borderId="9" xfId="94" applyFont="1" applyFill="1" applyBorder="1" applyAlignment="1" applyProtection="1">
      <alignment horizontal="center" vertical="center" wrapText="1"/>
      <protection/>
    </xf>
    <xf numFmtId="0" fontId="82" fillId="0" borderId="0" xfId="94" applyFont="1" applyFill="1" applyAlignment="1" applyProtection="1">
      <alignment vertical="center"/>
      <protection/>
    </xf>
    <xf numFmtId="49" fontId="25" fillId="0" borderId="54" xfId="94" applyNumberFormat="1" applyFont="1" applyBorder="1" applyAlignment="1" applyProtection="1">
      <alignment horizontal="center" vertical="center"/>
      <protection/>
    </xf>
    <xf numFmtId="0" fontId="21" fillId="0" borderId="9" xfId="94" applyFont="1" applyBorder="1" applyAlignment="1" applyProtection="1">
      <alignment horizontal="center" vertical="center" wrapText="1"/>
      <protection/>
    </xf>
    <xf numFmtId="0" fontId="21" fillId="0" borderId="25" xfId="94" applyFont="1" applyBorder="1" applyAlignment="1" applyProtection="1">
      <alignment horizontal="center" vertical="center" wrapText="1"/>
      <protection/>
    </xf>
    <xf numFmtId="4" fontId="21" fillId="0" borderId="25" xfId="94" applyNumberFormat="1" applyFont="1" applyBorder="1" applyAlignment="1" applyProtection="1">
      <alignment horizontal="center" vertical="center" wrapText="1"/>
      <protection/>
    </xf>
    <xf numFmtId="49" fontId="82" fillId="0" borderId="0" xfId="94" applyNumberFormat="1" applyFont="1" applyBorder="1" applyAlignment="1" applyProtection="1">
      <alignment horizontal="center"/>
      <protection/>
    </xf>
    <xf numFmtId="0" fontId="82" fillId="0" borderId="0" xfId="94" applyFont="1" applyBorder="1" applyAlignment="1" applyProtection="1">
      <alignment horizontal="left" wrapText="1"/>
      <protection/>
    </xf>
    <xf numFmtId="0" fontId="2" fillId="0" borderId="0" xfId="94" applyBorder="1" applyAlignment="1" applyProtection="1">
      <alignment horizontal="center" vertical="center" wrapText="1"/>
      <protection/>
    </xf>
    <xf numFmtId="0" fontId="9" fillId="0" borderId="0" xfId="94" applyFont="1" applyProtection="1">
      <alignment/>
      <protection/>
    </xf>
    <xf numFmtId="0" fontId="10" fillId="36" borderId="0" xfId="94" applyFont="1" applyFill="1" applyProtection="1">
      <alignment/>
      <protection locked="0"/>
    </xf>
    <xf numFmtId="0" fontId="77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86" fillId="0" borderId="0" xfId="0" applyFont="1" applyAlignment="1">
      <alignment/>
    </xf>
    <xf numFmtId="4" fontId="86" fillId="45" borderId="27" xfId="0" applyNumberFormat="1" applyFont="1" applyFill="1" applyBorder="1" applyAlignment="1">
      <alignment horizontal="center" vertical="center" wrapText="1"/>
    </xf>
    <xf numFmtId="4" fontId="86" fillId="45" borderId="46" xfId="0" applyNumberFormat="1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4" fontId="11" fillId="36" borderId="18" xfId="0" applyNumberFormat="1" applyFont="1" applyFill="1" applyBorder="1" applyAlignment="1" applyProtection="1">
      <alignment horizontal="center" vertical="center" wrapText="1"/>
      <protection locked="0"/>
    </xf>
    <xf numFmtId="4" fontId="11" fillId="36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/>
    </xf>
    <xf numFmtId="0" fontId="11" fillId="0" borderId="50" xfId="0" applyFont="1" applyBorder="1" applyAlignment="1">
      <alignment horizontal="center" vertical="center" wrapText="1"/>
    </xf>
    <xf numFmtId="4" fontId="11" fillId="36" borderId="33" xfId="0" applyNumberFormat="1" applyFont="1" applyFill="1" applyBorder="1" applyAlignment="1" applyProtection="1">
      <alignment horizontal="center" vertical="center" wrapText="1"/>
      <protection locked="0"/>
    </xf>
    <xf numFmtId="4" fontId="11" fillId="36" borderId="60" xfId="0" applyNumberFormat="1" applyFont="1" applyFill="1" applyBorder="1" applyAlignment="1" applyProtection="1">
      <alignment horizontal="center" vertical="center" wrapText="1"/>
      <protection locked="0"/>
    </xf>
    <xf numFmtId="0" fontId="136" fillId="0" borderId="34" xfId="0" applyFont="1" applyBorder="1" applyAlignment="1">
      <alignment horizontal="center" vertical="center" wrapText="1"/>
    </xf>
    <xf numFmtId="4" fontId="136" fillId="36" borderId="35" xfId="0" applyNumberFormat="1" applyFont="1" applyFill="1" applyBorder="1" applyAlignment="1" applyProtection="1">
      <alignment horizontal="center" vertical="center"/>
      <protection locked="0"/>
    </xf>
    <xf numFmtId="4" fontId="136" fillId="36" borderId="44" xfId="0" applyNumberFormat="1" applyFont="1" applyFill="1" applyBorder="1" applyAlignment="1" applyProtection="1">
      <alignment horizontal="center" vertical="center"/>
      <protection locked="0"/>
    </xf>
    <xf numFmtId="4" fontId="30" fillId="0" borderId="0" xfId="0" applyNumberFormat="1" applyFont="1" applyAlignment="1">
      <alignment/>
    </xf>
    <xf numFmtId="4" fontId="123" fillId="0" borderId="0" xfId="0" applyNumberFormat="1" applyFont="1" applyAlignment="1">
      <alignment/>
    </xf>
    <xf numFmtId="49" fontId="3" fillId="0" borderId="0" xfId="88" applyFont="1" applyFill="1" applyBorder="1" applyAlignment="1" applyProtection="1">
      <alignment vertical="center" wrapText="1"/>
      <protection/>
    </xf>
    <xf numFmtId="190" fontId="28" fillId="38" borderId="9" xfId="105" applyNumberFormat="1" applyFont="1" applyFill="1" applyBorder="1" applyAlignment="1" applyProtection="1">
      <alignment horizontal="center" vertical="center" wrapText="1"/>
      <protection/>
    </xf>
    <xf numFmtId="190" fontId="34" fillId="36" borderId="9" xfId="105" applyNumberFormat="1" applyFont="1" applyFill="1" applyBorder="1" applyAlignment="1" applyProtection="1">
      <alignment horizontal="center" vertical="center" wrapText="1"/>
      <protection locked="0"/>
    </xf>
    <xf numFmtId="190" fontId="3" fillId="40" borderId="9" xfId="117" applyNumberFormat="1" applyFont="1" applyFill="1" applyBorder="1" applyAlignment="1" applyProtection="1">
      <alignment vertical="center" wrapText="1"/>
      <protection/>
    </xf>
    <xf numFmtId="190" fontId="34" fillId="0" borderId="0" xfId="105" applyNumberFormat="1" applyFont="1" applyFill="1" applyBorder="1" applyAlignment="1" applyProtection="1">
      <alignment horizontal="left" vertical="center" wrapText="1" indent="1"/>
      <protection/>
    </xf>
    <xf numFmtId="190" fontId="28" fillId="0" borderId="0" xfId="91" applyNumberFormat="1" applyFont="1" applyAlignment="1" applyProtection="1">
      <alignment vertical="center"/>
      <protection/>
    </xf>
    <xf numFmtId="190" fontId="0" fillId="0" borderId="0" xfId="0" applyNumberFormat="1" applyAlignment="1" applyProtection="1">
      <alignment/>
      <protection/>
    </xf>
    <xf numFmtId="4" fontId="29" fillId="31" borderId="51" xfId="100" applyNumberFormat="1" applyFont="1" applyFill="1" applyBorder="1" applyAlignment="1" applyProtection="1">
      <alignment horizontal="center" vertical="center" wrapText="1"/>
      <protection locked="0"/>
    </xf>
    <xf numFmtId="4" fontId="29" fillId="31" borderId="32" xfId="100" applyNumberFormat="1" applyFont="1" applyFill="1" applyBorder="1" applyAlignment="1" applyProtection="1">
      <alignment horizontal="center" vertical="center"/>
      <protection locked="0"/>
    </xf>
    <xf numFmtId="4" fontId="29" fillId="31" borderId="45" xfId="100" applyNumberFormat="1" applyFont="1" applyFill="1" applyBorder="1" applyAlignment="1" applyProtection="1">
      <alignment horizontal="center" vertical="center" wrapText="1"/>
      <protection locked="0"/>
    </xf>
    <xf numFmtId="49" fontId="3" fillId="36" borderId="9" xfId="100" applyNumberFormat="1" applyFont="1" applyFill="1" applyBorder="1" applyAlignment="1" applyProtection="1">
      <alignment horizontal="left" vertical="center" wrapText="1"/>
      <protection locked="0"/>
    </xf>
    <xf numFmtId="4" fontId="12" fillId="36" borderId="25" xfId="0" applyNumberFormat="1" applyFont="1" applyFill="1" applyBorder="1" applyAlignment="1" applyProtection="1">
      <alignment horizontal="left" vertical="center" wrapText="1"/>
      <protection locked="0"/>
    </xf>
    <xf numFmtId="0" fontId="12" fillId="36" borderId="9" xfId="0" applyFont="1" applyFill="1" applyBorder="1" applyAlignment="1" applyProtection="1">
      <alignment horizontal="center" vertical="center" wrapText="1"/>
      <protection locked="0"/>
    </xf>
    <xf numFmtId="49" fontId="0" fillId="36" borderId="9" xfId="100" applyNumberFormat="1" applyFont="1" applyFill="1" applyBorder="1" applyAlignment="1" applyProtection="1">
      <alignment horizontal="left" vertical="center" wrapText="1"/>
      <protection locked="0"/>
    </xf>
    <xf numFmtId="49" fontId="0" fillId="36" borderId="9" xfId="100" applyNumberFormat="1" applyFont="1" applyFill="1" applyBorder="1" applyAlignment="1" applyProtection="1">
      <alignment horizontal="left" vertical="center" wrapText="1" indent="1"/>
      <protection locked="0"/>
    </xf>
    <xf numFmtId="0" fontId="0" fillId="36" borderId="19" xfId="115" applyFont="1" applyFill="1" applyBorder="1" applyAlignment="1" applyProtection="1">
      <alignment horizontal="center" vertical="center" wrapText="1"/>
      <protection locked="0"/>
    </xf>
    <xf numFmtId="0" fontId="0" fillId="36" borderId="19" xfId="115" applyFont="1" applyFill="1" applyBorder="1" applyAlignment="1" applyProtection="1">
      <alignment horizontal="center" vertical="center" wrapText="1"/>
      <protection locked="0"/>
    </xf>
    <xf numFmtId="0" fontId="33" fillId="0" borderId="15" xfId="122" applyFont="1" applyFill="1" applyBorder="1" applyAlignment="1" applyProtection="1">
      <alignment horizontal="center" vertical="center"/>
      <protection/>
    </xf>
    <xf numFmtId="0" fontId="132" fillId="0" borderId="9" xfId="0" applyFont="1" applyBorder="1" applyAlignment="1">
      <alignment horizontal="center" vertical="center"/>
    </xf>
    <xf numFmtId="0" fontId="137" fillId="0" borderId="0" xfId="0" applyFont="1" applyAlignment="1">
      <alignment horizontal="center" wrapText="1"/>
    </xf>
    <xf numFmtId="0" fontId="137" fillId="0" borderId="0" xfId="0" applyFont="1" applyAlignment="1">
      <alignment horizontal="center"/>
    </xf>
    <xf numFmtId="0" fontId="138" fillId="0" borderId="0" xfId="0" applyFont="1" applyAlignment="1">
      <alignment horizontal="center"/>
    </xf>
    <xf numFmtId="0" fontId="132" fillId="0" borderId="9" xfId="0" applyFont="1" applyBorder="1" applyAlignment="1">
      <alignment horizontal="center" vertical="center" wrapText="1"/>
    </xf>
    <xf numFmtId="0" fontId="132" fillId="0" borderId="62" xfId="0" applyFont="1" applyBorder="1" applyAlignment="1">
      <alignment horizontal="center" vertical="center" wrapText="1"/>
    </xf>
    <xf numFmtId="0" fontId="132" fillId="0" borderId="18" xfId="0" applyFont="1" applyBorder="1" applyAlignment="1">
      <alignment horizontal="center" vertical="center" wrapText="1"/>
    </xf>
    <xf numFmtId="0" fontId="10" fillId="0" borderId="0" xfId="100" applyFont="1" applyFill="1" applyBorder="1" applyAlignment="1">
      <alignment horizontal="left" vertical="center" wrapText="1"/>
      <protection/>
    </xf>
    <xf numFmtId="0" fontId="132" fillId="0" borderId="54" xfId="0" applyFont="1" applyBorder="1" applyAlignment="1">
      <alignment horizontal="center" vertical="center" wrapText="1"/>
    </xf>
    <xf numFmtId="0" fontId="132" fillId="0" borderId="25" xfId="0" applyFont="1" applyBorder="1" applyAlignment="1">
      <alignment horizontal="center" vertical="center" wrapText="1"/>
    </xf>
    <xf numFmtId="4" fontId="132" fillId="0" borderId="9" xfId="0" applyNumberFormat="1" applyFont="1" applyBorder="1" applyAlignment="1">
      <alignment horizontal="center" vertical="center" wrapText="1"/>
    </xf>
    <xf numFmtId="0" fontId="18" fillId="0" borderId="0" xfId="94" applyFont="1" applyAlignment="1" applyProtection="1">
      <alignment wrapText="1" shrinkToFit="1"/>
      <protection/>
    </xf>
    <xf numFmtId="0" fontId="10" fillId="0" borderId="0" xfId="94" applyFont="1" applyBorder="1" applyAlignment="1" applyProtection="1">
      <alignment horizontal="center" wrapText="1" shrinkToFit="1"/>
      <protection/>
    </xf>
    <xf numFmtId="0" fontId="10" fillId="36" borderId="0" xfId="94" applyFont="1" applyFill="1" applyAlignment="1" applyProtection="1">
      <alignment horizontal="center" wrapText="1" shrinkToFit="1"/>
      <protection locked="0"/>
    </xf>
    <xf numFmtId="0" fontId="76" fillId="0" borderId="0" xfId="94" applyFont="1" applyAlignment="1" applyProtection="1">
      <alignment horizontal="center" wrapText="1" shrinkToFit="1"/>
      <protection/>
    </xf>
    <xf numFmtId="0" fontId="79" fillId="0" borderId="0" xfId="94" applyFont="1" applyAlignment="1" applyProtection="1">
      <alignment horizontal="center" vertical="center" wrapText="1"/>
      <protection/>
    </xf>
    <xf numFmtId="0" fontId="71" fillId="0" borderId="0" xfId="94" applyFont="1" applyBorder="1" applyAlignment="1" applyProtection="1">
      <alignment horizontal="center" vertical="center" wrapText="1"/>
      <protection/>
    </xf>
    <xf numFmtId="0" fontId="76" fillId="0" borderId="0" xfId="94" applyFont="1" applyAlignment="1" applyProtection="1">
      <alignment horizontal="center" vertical="center" wrapText="1"/>
      <protection/>
    </xf>
    <xf numFmtId="0" fontId="80" fillId="0" borderId="0" xfId="94" applyFont="1" applyFill="1" applyAlignment="1" applyProtection="1">
      <alignment horizontal="center" vertical="center" wrapText="1"/>
      <protection/>
    </xf>
    <xf numFmtId="0" fontId="82" fillId="0" borderId="81" xfId="94" applyFont="1" applyBorder="1" applyAlignment="1" applyProtection="1">
      <alignment horizontal="center" vertical="top"/>
      <protection/>
    </xf>
    <xf numFmtId="0" fontId="83" fillId="0" borderId="62" xfId="94" applyFont="1" applyBorder="1" applyAlignment="1" applyProtection="1">
      <alignment horizontal="center" vertical="center" wrapText="1"/>
      <protection/>
    </xf>
    <xf numFmtId="0" fontId="83" fillId="0" borderId="33" xfId="94" applyFont="1" applyBorder="1" applyAlignment="1" applyProtection="1">
      <alignment horizontal="center" vertical="center" wrapText="1"/>
      <protection/>
    </xf>
    <xf numFmtId="0" fontId="83" fillId="0" borderId="18" xfId="94" applyFont="1" applyBorder="1" applyAlignment="1" applyProtection="1">
      <alignment horizontal="center" vertical="center" wrapText="1"/>
      <protection/>
    </xf>
    <xf numFmtId="0" fontId="79" fillId="0" borderId="62" xfId="94" applyFont="1" applyBorder="1" applyAlignment="1" applyProtection="1">
      <alignment horizontal="center" vertical="center" wrapText="1"/>
      <protection/>
    </xf>
    <xf numFmtId="0" fontId="79" fillId="0" borderId="33" xfId="94" applyFont="1" applyBorder="1" applyAlignment="1" applyProtection="1">
      <alignment horizontal="center" vertical="center" wrapText="1"/>
      <protection/>
    </xf>
    <xf numFmtId="0" fontId="79" fillId="0" borderId="18" xfId="94" applyFont="1" applyBorder="1" applyAlignment="1" applyProtection="1">
      <alignment horizontal="center" vertical="center" wrapText="1"/>
      <protection/>
    </xf>
    <xf numFmtId="0" fontId="79" fillId="0" borderId="59" xfId="94" applyFont="1" applyBorder="1" applyAlignment="1" applyProtection="1">
      <alignment horizontal="center" vertical="center" wrapText="1"/>
      <protection/>
    </xf>
    <xf numFmtId="0" fontId="79" fillId="0" borderId="83" xfId="94" applyFont="1" applyBorder="1" applyAlignment="1" applyProtection="1">
      <alignment horizontal="center" vertical="center" wrapText="1"/>
      <protection/>
    </xf>
    <xf numFmtId="0" fontId="79" fillId="0" borderId="86" xfId="94" applyFont="1" applyBorder="1" applyAlignment="1" applyProtection="1">
      <alignment horizontal="center" vertical="center" wrapText="1"/>
      <protection/>
    </xf>
    <xf numFmtId="0" fontId="79" fillId="0" borderId="61" xfId="94" applyFont="1" applyBorder="1" applyAlignment="1" applyProtection="1">
      <alignment horizontal="center" vertical="center" wrapText="1"/>
      <protection/>
    </xf>
    <xf numFmtId="0" fontId="79" fillId="0" borderId="0" xfId="94" applyFont="1" applyBorder="1" applyAlignment="1" applyProtection="1">
      <alignment horizontal="center" vertical="center" wrapText="1"/>
      <protection/>
    </xf>
    <xf numFmtId="0" fontId="79" fillId="0" borderId="74" xfId="94" applyFont="1" applyBorder="1" applyAlignment="1" applyProtection="1">
      <alignment horizontal="center" vertical="center" wrapText="1"/>
      <protection/>
    </xf>
    <xf numFmtId="0" fontId="79" fillId="0" borderId="57" xfId="94" applyFont="1" applyBorder="1" applyAlignment="1" applyProtection="1">
      <alignment horizontal="center" vertical="center" wrapText="1"/>
      <protection/>
    </xf>
    <xf numFmtId="0" fontId="79" fillId="0" borderId="81" xfId="94" applyFont="1" applyBorder="1" applyAlignment="1" applyProtection="1">
      <alignment horizontal="center" vertical="center" wrapText="1"/>
      <protection/>
    </xf>
    <xf numFmtId="0" fontId="79" fillId="0" borderId="38" xfId="94" applyFont="1" applyBorder="1" applyAlignment="1" applyProtection="1">
      <alignment horizontal="center" vertical="center" wrapText="1"/>
      <protection/>
    </xf>
    <xf numFmtId="0" fontId="21" fillId="0" borderId="59" xfId="94" applyFont="1" applyBorder="1" applyAlignment="1" applyProtection="1">
      <alignment horizontal="center" vertical="center" wrapText="1"/>
      <protection/>
    </xf>
    <xf numFmtId="0" fontId="21" fillId="0" borderId="83" xfId="94" applyFont="1" applyBorder="1" applyAlignment="1" applyProtection="1">
      <alignment horizontal="center" vertical="center" wrapText="1"/>
      <protection/>
    </xf>
    <xf numFmtId="0" fontId="21" fillId="0" borderId="86" xfId="94" applyFont="1" applyBorder="1" applyAlignment="1" applyProtection="1">
      <alignment horizontal="center" vertical="center" wrapText="1"/>
      <protection/>
    </xf>
    <xf numFmtId="0" fontId="21" fillId="0" borderId="61" xfId="94" applyFont="1" applyBorder="1" applyAlignment="1" applyProtection="1">
      <alignment horizontal="center" vertical="center" wrapText="1"/>
      <protection/>
    </xf>
    <xf numFmtId="0" fontId="21" fillId="0" borderId="0" xfId="94" applyFont="1" applyBorder="1" applyAlignment="1" applyProtection="1">
      <alignment horizontal="center" vertical="center" wrapText="1"/>
      <protection/>
    </xf>
    <xf numFmtId="0" fontId="21" fillId="0" borderId="74" xfId="94" applyFont="1" applyBorder="1" applyAlignment="1" applyProtection="1">
      <alignment horizontal="center" vertical="center" wrapText="1"/>
      <protection/>
    </xf>
    <xf numFmtId="0" fontId="21" fillId="0" borderId="57" xfId="94" applyFont="1" applyBorder="1" applyAlignment="1" applyProtection="1">
      <alignment horizontal="center" vertical="center" wrapText="1"/>
      <protection/>
    </xf>
    <xf numFmtId="0" fontId="21" fillId="0" borderId="81" xfId="94" applyFont="1" applyBorder="1" applyAlignment="1" applyProtection="1">
      <alignment horizontal="center" vertical="center" wrapText="1"/>
      <protection/>
    </xf>
    <xf numFmtId="0" fontId="21" fillId="0" borderId="38" xfId="94" applyFont="1" applyBorder="1" applyAlignment="1" applyProtection="1">
      <alignment horizontal="center" vertical="center" wrapText="1"/>
      <protection/>
    </xf>
    <xf numFmtId="0" fontId="18" fillId="0" borderId="59" xfId="94" applyFont="1" applyBorder="1" applyAlignment="1" applyProtection="1">
      <alignment horizontal="center" vertical="center" wrapText="1"/>
      <protection/>
    </xf>
    <xf numFmtId="0" fontId="18" fillId="0" borderId="86" xfId="94" applyFont="1" applyBorder="1" applyAlignment="1" applyProtection="1">
      <alignment horizontal="center" vertical="center" wrapText="1"/>
      <protection/>
    </xf>
    <xf numFmtId="0" fontId="18" fillId="0" borderId="61" xfId="94" applyFont="1" applyBorder="1" applyAlignment="1" applyProtection="1">
      <alignment horizontal="center" vertical="center" wrapText="1"/>
      <protection/>
    </xf>
    <xf numFmtId="0" fontId="18" fillId="0" borderId="74" xfId="94" applyFont="1" applyBorder="1" applyAlignment="1" applyProtection="1">
      <alignment horizontal="center" vertical="center" wrapText="1"/>
      <protection/>
    </xf>
    <xf numFmtId="0" fontId="18" fillId="0" borderId="57" xfId="94" applyFont="1" applyBorder="1" applyAlignment="1" applyProtection="1">
      <alignment horizontal="center" vertical="center" wrapText="1"/>
      <protection/>
    </xf>
    <xf numFmtId="0" fontId="18" fillId="0" borderId="38" xfId="94" applyFont="1" applyBorder="1" applyAlignment="1" applyProtection="1">
      <alignment horizontal="center" vertical="center" wrapText="1"/>
      <protection/>
    </xf>
    <xf numFmtId="0" fontId="79" fillId="0" borderId="54" xfId="94" applyFont="1" applyBorder="1" applyAlignment="1" applyProtection="1">
      <alignment horizontal="center" vertical="center" wrapText="1"/>
      <protection/>
    </xf>
    <xf numFmtId="0" fontId="79" fillId="0" borderId="58" xfId="94" applyFont="1" applyBorder="1" applyAlignment="1" applyProtection="1">
      <alignment horizontal="center" vertical="center" wrapText="1"/>
      <protection/>
    </xf>
    <xf numFmtId="0" fontId="79" fillId="0" borderId="25" xfId="94" applyFont="1" applyBorder="1" applyAlignment="1" applyProtection="1">
      <alignment horizontal="center" vertical="center" wrapText="1"/>
      <protection/>
    </xf>
    <xf numFmtId="0" fontId="18" fillId="0" borderId="54" xfId="94" applyFont="1" applyBorder="1" applyAlignment="1" applyProtection="1">
      <alignment horizontal="center" vertical="center" wrapText="1"/>
      <protection/>
    </xf>
    <xf numFmtId="0" fontId="18" fillId="0" borderId="25" xfId="94" applyFont="1" applyBorder="1" applyAlignment="1" applyProtection="1">
      <alignment horizontal="center" vertical="center" wrapText="1"/>
      <protection/>
    </xf>
    <xf numFmtId="0" fontId="18" fillId="0" borderId="58" xfId="94" applyFont="1" applyBorder="1" applyAlignment="1" applyProtection="1">
      <alignment horizontal="center" vertical="center" wrapText="1"/>
      <protection/>
    </xf>
    <xf numFmtId="0" fontId="71" fillId="0" borderId="59" xfId="94" applyFont="1" applyBorder="1" applyAlignment="1" applyProtection="1">
      <alignment horizontal="center" vertical="center" wrapText="1"/>
      <protection/>
    </xf>
    <xf numFmtId="0" fontId="71" fillId="0" borderId="86" xfId="94" applyFont="1" applyBorder="1" applyAlignment="1" applyProtection="1">
      <alignment horizontal="center" vertical="center" wrapText="1"/>
      <protection/>
    </xf>
    <xf numFmtId="0" fontId="71" fillId="0" borderId="57" xfId="94" applyFont="1" applyBorder="1" applyAlignment="1" applyProtection="1">
      <alignment horizontal="center" vertical="center" wrapText="1"/>
      <protection/>
    </xf>
    <xf numFmtId="0" fontId="71" fillId="0" borderId="38" xfId="94" applyFont="1" applyBorder="1" applyAlignment="1" applyProtection="1">
      <alignment horizontal="center" vertical="center" wrapText="1"/>
      <protection/>
    </xf>
    <xf numFmtId="0" fontId="84" fillId="0" borderId="59" xfId="94" applyFont="1" applyBorder="1" applyAlignment="1" applyProtection="1">
      <alignment horizontal="center" vertical="center" wrapText="1"/>
      <protection/>
    </xf>
    <xf numFmtId="0" fontId="84" fillId="0" borderId="86" xfId="94" applyFont="1" applyBorder="1" applyAlignment="1" applyProtection="1">
      <alignment horizontal="center" vertical="center" wrapText="1"/>
      <protection/>
    </xf>
    <xf numFmtId="0" fontId="84" fillId="0" borderId="57" xfId="94" applyFont="1" applyBorder="1" applyAlignment="1" applyProtection="1">
      <alignment horizontal="center" vertical="center" wrapText="1"/>
      <protection/>
    </xf>
    <xf numFmtId="0" fontId="84" fillId="0" borderId="38" xfId="94" applyFont="1" applyBorder="1" applyAlignment="1" applyProtection="1">
      <alignment horizontal="center" vertical="center" wrapText="1"/>
      <protection/>
    </xf>
    <xf numFmtId="0" fontId="63" fillId="0" borderId="54" xfId="94" applyFont="1" applyBorder="1" applyAlignment="1" applyProtection="1">
      <alignment horizontal="center" vertical="center" wrapText="1"/>
      <protection/>
    </xf>
    <xf numFmtId="0" fontId="63" fillId="0" borderId="25" xfId="94" applyFont="1" applyBorder="1" applyAlignment="1" applyProtection="1">
      <alignment horizontal="center" vertical="center" wrapText="1"/>
      <protection/>
    </xf>
    <xf numFmtId="0" fontId="82" fillId="0" borderId="83" xfId="94" applyFont="1" applyBorder="1" applyAlignment="1" applyProtection="1">
      <alignment horizontal="center" vertical="top"/>
      <protection/>
    </xf>
    <xf numFmtId="0" fontId="10" fillId="0" borderId="81" xfId="94" applyFont="1" applyFill="1" applyBorder="1" applyAlignment="1" applyProtection="1">
      <alignment horizontal="center" vertical="center" wrapText="1"/>
      <protection locked="0"/>
    </xf>
    <xf numFmtId="0" fontId="13" fillId="0" borderId="62" xfId="94" applyFont="1" applyBorder="1" applyAlignment="1" applyProtection="1">
      <alignment horizontal="center" vertical="center" wrapText="1"/>
      <protection/>
    </xf>
    <xf numFmtId="0" fontId="13" fillId="0" borderId="33" xfId="94" applyFont="1" applyBorder="1" applyAlignment="1" applyProtection="1">
      <alignment horizontal="center" vertical="center" wrapText="1"/>
      <protection/>
    </xf>
    <xf numFmtId="0" fontId="13" fillId="0" borderId="18" xfId="94" applyFont="1" applyBorder="1" applyAlignment="1" applyProtection="1">
      <alignment horizontal="center" vertical="center" wrapText="1"/>
      <protection/>
    </xf>
    <xf numFmtId="0" fontId="63" fillId="0" borderId="62" xfId="94" applyFont="1" applyBorder="1" applyAlignment="1" applyProtection="1">
      <alignment horizontal="center" vertical="center" wrapText="1"/>
      <protection/>
    </xf>
    <xf numFmtId="0" fontId="63" fillId="0" borderId="18" xfId="94" applyFont="1" applyBorder="1" applyAlignment="1" applyProtection="1">
      <alignment horizontal="center" vertical="center" wrapText="1"/>
      <protection/>
    </xf>
    <xf numFmtId="0" fontId="63" fillId="36" borderId="54" xfId="94" applyFont="1" applyFill="1" applyBorder="1" applyAlignment="1" applyProtection="1">
      <alignment horizontal="center" vertical="center" wrapText="1"/>
      <protection locked="0"/>
    </xf>
    <xf numFmtId="0" fontId="63" fillId="36" borderId="25" xfId="94" applyFont="1" applyFill="1" applyBorder="1" applyAlignment="1" applyProtection="1">
      <alignment horizontal="center" vertical="center" wrapText="1"/>
      <protection locked="0"/>
    </xf>
    <xf numFmtId="49" fontId="63" fillId="0" borderId="0" xfId="117" applyNumberFormat="1" applyFont="1" applyFill="1" applyBorder="1" applyAlignment="1" applyProtection="1">
      <alignment horizontal="left" vertical="center" wrapText="1"/>
      <protection/>
    </xf>
    <xf numFmtId="0" fontId="123" fillId="0" borderId="0" xfId="0" applyFont="1" applyAlignment="1">
      <alignment horizontal="left" vertical="center" wrapText="1"/>
    </xf>
    <xf numFmtId="0" fontId="77" fillId="0" borderId="0" xfId="0" applyFont="1" applyAlignment="1">
      <alignment horizontal="center" vertical="center"/>
    </xf>
    <xf numFmtId="0" fontId="139" fillId="0" borderId="56" xfId="0" applyFont="1" applyBorder="1" applyAlignment="1">
      <alignment horizontal="center" vertical="center" wrapText="1"/>
    </xf>
    <xf numFmtId="0" fontId="139" fillId="0" borderId="45" xfId="0" applyFont="1" applyBorder="1" applyAlignment="1">
      <alignment horizontal="center" vertical="center" wrapText="1"/>
    </xf>
    <xf numFmtId="4" fontId="86" fillId="45" borderId="69" xfId="0" applyNumberFormat="1" applyFont="1" applyFill="1" applyBorder="1" applyAlignment="1">
      <alignment horizontal="center" vertical="center" wrapText="1"/>
    </xf>
    <xf numFmtId="4" fontId="86" fillId="45" borderId="20" xfId="0" applyNumberFormat="1" applyFont="1" applyFill="1" applyBorder="1" applyAlignment="1">
      <alignment horizontal="center" vertical="center" wrapText="1"/>
    </xf>
    <xf numFmtId="4" fontId="86" fillId="45" borderId="64" xfId="0" applyNumberFormat="1" applyFont="1" applyFill="1" applyBorder="1" applyAlignment="1">
      <alignment horizontal="center" vertical="center" wrapText="1"/>
    </xf>
    <xf numFmtId="4" fontId="86" fillId="45" borderId="75" xfId="0" applyNumberFormat="1" applyFont="1" applyFill="1" applyBorder="1" applyAlignment="1">
      <alignment horizontal="center" vertical="center" wrapText="1"/>
    </xf>
    <xf numFmtId="4" fontId="86" fillId="45" borderId="84" xfId="0" applyNumberFormat="1" applyFont="1" applyFill="1" applyBorder="1" applyAlignment="1">
      <alignment horizontal="center" vertical="center" wrapText="1"/>
    </xf>
    <xf numFmtId="0" fontId="68" fillId="0" borderId="0" xfId="105" applyFont="1" applyFill="1" applyBorder="1" applyAlignment="1" applyProtection="1">
      <alignment horizontal="left" vertical="center" wrapText="1"/>
      <protection/>
    </xf>
    <xf numFmtId="49" fontId="68" fillId="0" borderId="0" xfId="105" applyNumberFormat="1" applyFont="1" applyBorder="1" applyAlignment="1" applyProtection="1">
      <alignment horizontal="center" vertical="center" wrapText="1"/>
      <protection/>
    </xf>
    <xf numFmtId="0" fontId="68" fillId="0" borderId="0" xfId="105" applyFont="1" applyFill="1" applyBorder="1" applyAlignment="1" applyProtection="1">
      <alignment horizontal="left" vertical="top" wrapText="1"/>
      <protection/>
    </xf>
    <xf numFmtId="49" fontId="68" fillId="0" borderId="0" xfId="105" applyNumberFormat="1" applyFont="1" applyBorder="1" applyAlignment="1" applyProtection="1">
      <alignment horizontal="center" vertical="top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left" vertical="center" wrapText="1" indent="1"/>
      <protection/>
    </xf>
    <xf numFmtId="0" fontId="20" fillId="0" borderId="9" xfId="0" applyFont="1" applyBorder="1" applyAlignment="1" applyProtection="1">
      <alignment horizontal="left" vertical="center" wrapText="1" indent="1"/>
      <protection/>
    </xf>
    <xf numFmtId="0" fontId="18" fillId="0" borderId="47" xfId="0" applyFont="1" applyBorder="1" applyAlignment="1" applyProtection="1">
      <alignment horizontal="center" vertical="center" wrapText="1"/>
      <protection/>
    </xf>
    <xf numFmtId="0" fontId="114" fillId="0" borderId="44" xfId="0" applyFont="1" applyBorder="1" applyAlignment="1" applyProtection="1">
      <alignment horizontal="center" vertical="center" wrapText="1"/>
      <protection/>
    </xf>
    <xf numFmtId="0" fontId="10" fillId="0" borderId="39" xfId="0" applyFont="1" applyBorder="1" applyAlignment="1" applyProtection="1">
      <alignment horizontal="left" vertical="center" wrapText="1" indent="1"/>
      <protection/>
    </xf>
    <xf numFmtId="0" fontId="0" fillId="0" borderId="30" xfId="0" applyFont="1" applyBorder="1" applyAlignment="1" applyProtection="1">
      <alignment horizontal="left" vertical="center" wrapText="1" indent="1"/>
      <protection/>
    </xf>
    <xf numFmtId="2" fontId="10" fillId="0" borderId="39" xfId="127" applyNumberFormat="1" applyFont="1" applyFill="1" applyBorder="1" applyAlignment="1" applyProtection="1">
      <alignment horizontal="center" vertical="center" wrapText="1"/>
      <protection/>
    </xf>
    <xf numFmtId="0" fontId="20" fillId="0" borderId="31" xfId="0" applyFont="1" applyFill="1" applyBorder="1" applyAlignment="1" applyProtection="1">
      <alignment horizontal="center" vertical="center" wrapText="1"/>
      <protection/>
    </xf>
    <xf numFmtId="0" fontId="10" fillId="0" borderId="45" xfId="0" applyFont="1" applyBorder="1" applyAlignment="1" applyProtection="1">
      <alignment horizontal="left" vertical="center" wrapText="1" indent="1"/>
      <protection/>
    </xf>
    <xf numFmtId="0" fontId="0" fillId="0" borderId="46" xfId="0" applyFont="1" applyBorder="1" applyAlignment="1" applyProtection="1">
      <alignment horizontal="left" vertical="center" wrapText="1" indent="1"/>
      <protection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0" fillId="0" borderId="40" xfId="0" applyBorder="1" applyAlignment="1" applyProtection="1">
      <alignment horizontal="left" vertical="center" wrapText="1" indent="1"/>
      <protection/>
    </xf>
    <xf numFmtId="0" fontId="10" fillId="0" borderId="26" xfId="0" applyFont="1" applyBorder="1" applyAlignment="1" applyProtection="1">
      <alignment horizontal="left" vertical="center" wrapText="1" indent="1"/>
      <protection/>
    </xf>
    <xf numFmtId="0" fontId="10" fillId="0" borderId="65" xfId="0" applyFont="1" applyBorder="1" applyAlignment="1" applyProtection="1">
      <alignment horizontal="left" vertical="center" wrapText="1" indent="1"/>
      <protection/>
    </xf>
    <xf numFmtId="4" fontId="10" fillId="0" borderId="89" xfId="0" applyNumberFormat="1" applyFont="1" applyFill="1" applyBorder="1" applyAlignment="1" applyProtection="1">
      <alignment horizontal="center" vertical="center" wrapText="1"/>
      <protection/>
    </xf>
    <xf numFmtId="4" fontId="20" fillId="0" borderId="95" xfId="0" applyNumberFormat="1" applyFont="1" applyFill="1" applyBorder="1" applyAlignment="1" applyProtection="1">
      <alignment horizontal="center" vertical="center" wrapText="1"/>
      <protection/>
    </xf>
    <xf numFmtId="0" fontId="18" fillId="0" borderId="36" xfId="0" applyFont="1" applyBorder="1" applyAlignment="1" applyProtection="1">
      <alignment horizontal="center" vertical="center" wrapText="1"/>
      <protection/>
    </xf>
    <xf numFmtId="4" fontId="10" fillId="0" borderId="45" xfId="127" applyNumberFormat="1" applyFont="1" applyFill="1" applyBorder="1" applyAlignment="1" applyProtection="1">
      <alignment horizontal="center" vertical="center" wrapText="1"/>
      <protection/>
    </xf>
    <xf numFmtId="4" fontId="0" fillId="0" borderId="46" xfId="0" applyNumberFormat="1" applyFill="1" applyBorder="1" applyAlignment="1" applyProtection="1">
      <alignment horizontal="center" vertical="center" wrapText="1"/>
      <protection/>
    </xf>
    <xf numFmtId="0" fontId="17" fillId="0" borderId="74" xfId="0" applyFont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horizontal="center" vertical="center" wrapText="1"/>
      <protection/>
    </xf>
    <xf numFmtId="0" fontId="17" fillId="0" borderId="61" xfId="0" applyFont="1" applyBorder="1" applyAlignment="1" applyProtection="1">
      <alignment horizontal="center" vertical="center" wrapText="1"/>
      <protection/>
    </xf>
    <xf numFmtId="0" fontId="18" fillId="0" borderId="40" xfId="0" applyFont="1" applyBorder="1" applyAlignment="1" applyProtection="1">
      <alignment horizontal="left" vertical="center" wrapText="1" indent="1"/>
      <protection/>
    </xf>
    <xf numFmtId="4" fontId="19" fillId="0" borderId="14" xfId="127" applyNumberFormat="1" applyFont="1" applyBorder="1" applyAlignment="1" applyProtection="1">
      <alignment horizontal="center" vertical="center" wrapText="1"/>
      <protection/>
    </xf>
    <xf numFmtId="4" fontId="0" fillId="0" borderId="40" xfId="0" applyNumberFormat="1" applyBorder="1" applyAlignment="1" applyProtection="1">
      <alignment horizontal="center" vertical="center" wrapText="1"/>
      <protection/>
    </xf>
    <xf numFmtId="4" fontId="10" fillId="47" borderId="14" xfId="127" applyNumberFormat="1" applyFont="1" applyFill="1" applyBorder="1" applyAlignment="1" applyProtection="1">
      <alignment horizontal="center" vertical="center" wrapText="1"/>
      <protection locked="0"/>
    </xf>
    <xf numFmtId="4" fontId="0" fillId="0" borderId="40" xfId="0" applyNumberForma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left" vertical="center" wrapText="1" indent="1"/>
      <protection/>
    </xf>
    <xf numFmtId="0" fontId="0" fillId="0" borderId="40" xfId="0" applyFont="1" applyBorder="1" applyAlignment="1" applyProtection="1">
      <alignment horizontal="left" vertical="center" wrapText="1" indent="1"/>
      <protection/>
    </xf>
    <xf numFmtId="4" fontId="10" fillId="0" borderId="14" xfId="127" applyNumberFormat="1" applyFont="1" applyFill="1" applyBorder="1" applyAlignment="1" applyProtection="1">
      <alignment horizontal="center" vertical="center" wrapText="1"/>
      <protection/>
    </xf>
    <xf numFmtId="4" fontId="0" fillId="0" borderId="40" xfId="0" applyNumberFormat="1" applyFill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18" fillId="0" borderId="34" xfId="0" applyFont="1" applyBorder="1" applyAlignment="1" applyProtection="1">
      <alignment horizontal="center" vertical="center" wrapText="1"/>
      <protection/>
    </xf>
    <xf numFmtId="0" fontId="18" fillId="0" borderId="44" xfId="0" applyFont="1" applyBorder="1" applyAlignment="1" applyProtection="1">
      <alignment horizontal="center" vertical="center" wrapText="1"/>
      <protection/>
    </xf>
    <xf numFmtId="0" fontId="18" fillId="0" borderId="51" xfId="0" applyFont="1" applyBorder="1" applyAlignment="1" applyProtection="1">
      <alignment horizontal="left" vertical="center" wrapText="1" indent="1"/>
      <protection/>
    </xf>
    <xf numFmtId="0" fontId="18" fillId="0" borderId="53" xfId="0" applyFont="1" applyBorder="1" applyAlignment="1" applyProtection="1">
      <alignment horizontal="left" vertical="center" wrapText="1" indent="1"/>
      <protection/>
    </xf>
    <xf numFmtId="0" fontId="18" fillId="0" borderId="25" xfId="0" applyFont="1" applyBorder="1" applyAlignment="1" applyProtection="1">
      <alignment horizontal="left" vertical="center" wrapText="1" indent="1"/>
      <protection/>
    </xf>
    <xf numFmtId="0" fontId="22" fillId="0" borderId="54" xfId="0" applyFont="1" applyBorder="1" applyAlignment="1" applyProtection="1">
      <alignment horizontal="left" vertical="center" wrapText="1" indent="1"/>
      <protection/>
    </xf>
    <xf numFmtId="4" fontId="10" fillId="0" borderId="58" xfId="0" applyNumberFormat="1" applyFont="1" applyFill="1" applyBorder="1" applyAlignment="1" applyProtection="1">
      <alignment horizontal="center" vertical="center" wrapText="1"/>
      <protection/>
    </xf>
    <xf numFmtId="4" fontId="20" fillId="0" borderId="87" xfId="0" applyNumberFormat="1" applyFont="1" applyFill="1" applyBorder="1" applyAlignment="1" applyProtection="1">
      <alignment horizontal="center" vertical="center" wrapText="1"/>
      <protection/>
    </xf>
    <xf numFmtId="4" fontId="10" fillId="0" borderId="77" xfId="0" applyNumberFormat="1" applyFont="1" applyFill="1" applyBorder="1" applyAlignment="1" applyProtection="1">
      <alignment horizontal="center" vertical="center" wrapText="1"/>
      <protection/>
    </xf>
    <xf numFmtId="4" fontId="10" fillId="0" borderId="87" xfId="0" applyNumberFormat="1" applyFont="1" applyFill="1" applyBorder="1" applyAlignment="1" applyProtection="1">
      <alignment horizontal="center" vertical="center" wrapText="1"/>
      <protection/>
    </xf>
    <xf numFmtId="9" fontId="19" fillId="0" borderId="51" xfId="127" applyFont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4" fontId="10" fillId="36" borderId="77" xfId="0" applyNumberFormat="1" applyFont="1" applyFill="1" applyBorder="1" applyAlignment="1" applyProtection="1">
      <alignment horizontal="center" vertical="center" wrapText="1"/>
      <protection locked="0"/>
    </xf>
    <xf numFmtId="4" fontId="10" fillId="36" borderId="87" xfId="0" applyNumberFormat="1" applyFont="1" applyFill="1" applyBorder="1" applyAlignment="1" applyProtection="1">
      <alignment horizontal="center" vertical="center" wrapText="1"/>
      <protection locked="0"/>
    </xf>
    <xf numFmtId="4" fontId="10" fillId="36" borderId="77" xfId="0" applyNumberFormat="1" applyFont="1" applyFill="1" applyBorder="1" applyAlignment="1" applyProtection="1">
      <alignment horizontal="center" vertical="center"/>
      <protection locked="0"/>
    </xf>
    <xf numFmtId="4" fontId="10" fillId="36" borderId="87" xfId="0" applyNumberFormat="1" applyFont="1" applyFill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left" vertical="center" wrapText="1" indent="1"/>
      <protection/>
    </xf>
    <xf numFmtId="0" fontId="10" fillId="0" borderId="58" xfId="0" applyFont="1" applyBorder="1" applyAlignment="1" applyProtection="1">
      <alignment horizontal="center" vertical="center" wrapText="1"/>
      <protection/>
    </xf>
    <xf numFmtId="0" fontId="20" fillId="0" borderId="87" xfId="0" applyFont="1" applyBorder="1" applyAlignment="1" applyProtection="1">
      <alignment horizontal="center" vertical="center" wrapText="1"/>
      <protection/>
    </xf>
    <xf numFmtId="0" fontId="10" fillId="0" borderId="77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left" vertical="center" wrapText="1" indent="1"/>
      <protection/>
    </xf>
    <xf numFmtId="0" fontId="10" fillId="0" borderId="54" xfId="0" applyFont="1" applyBorder="1" applyAlignment="1" applyProtection="1">
      <alignment horizontal="left" vertical="center" wrapText="1" indent="1"/>
      <protection/>
    </xf>
    <xf numFmtId="0" fontId="18" fillId="0" borderId="38" xfId="0" applyFont="1" applyBorder="1" applyAlignment="1" applyProtection="1">
      <alignment horizontal="left" vertical="center" wrapText="1" indent="1"/>
      <protection/>
    </xf>
    <xf numFmtId="0" fontId="22" fillId="0" borderId="57" xfId="0" applyFont="1" applyBorder="1" applyAlignment="1" applyProtection="1">
      <alignment horizontal="left" vertical="center" wrapText="1" indent="1"/>
      <protection/>
    </xf>
    <xf numFmtId="0" fontId="10" fillId="47" borderId="58" xfId="0" applyFont="1" applyFill="1" applyBorder="1" applyAlignment="1" applyProtection="1">
      <alignment horizontal="center" vertical="center" wrapText="1"/>
      <protection locked="0"/>
    </xf>
    <xf numFmtId="0" fontId="20" fillId="47" borderId="87" xfId="0" applyFont="1" applyFill="1" applyBorder="1" applyAlignment="1" applyProtection="1">
      <alignment horizontal="center" vertical="center" wrapText="1"/>
      <protection locked="0"/>
    </xf>
    <xf numFmtId="0" fontId="10" fillId="47" borderId="77" xfId="0" applyFont="1" applyFill="1" applyBorder="1" applyAlignment="1" applyProtection="1">
      <alignment horizontal="center" vertical="center" wrapText="1"/>
      <protection locked="0"/>
    </xf>
    <xf numFmtId="2" fontId="10" fillId="0" borderId="58" xfId="0" applyNumberFormat="1" applyFont="1" applyFill="1" applyBorder="1" applyAlignment="1" applyProtection="1">
      <alignment horizontal="center" vertical="center" wrapText="1"/>
      <protection/>
    </xf>
    <xf numFmtId="2" fontId="20" fillId="0" borderId="87" xfId="0" applyNumberFormat="1" applyFont="1" applyFill="1" applyBorder="1" applyAlignment="1" applyProtection="1">
      <alignment horizontal="center" vertical="center" wrapText="1"/>
      <protection/>
    </xf>
    <xf numFmtId="2" fontId="10" fillId="0" borderId="77" xfId="0" applyNumberFormat="1" applyFont="1" applyFill="1" applyBorder="1" applyAlignment="1" applyProtection="1">
      <alignment horizontal="center" vertical="center" wrapText="1"/>
      <protection/>
    </xf>
    <xf numFmtId="0" fontId="10" fillId="0" borderId="58" xfId="0" applyFont="1" applyFill="1" applyBorder="1" applyAlignment="1" applyProtection="1">
      <alignment horizontal="center" vertical="center" wrapText="1"/>
      <protection/>
    </xf>
    <xf numFmtId="0" fontId="20" fillId="0" borderId="87" xfId="0" applyFont="1" applyFill="1" applyBorder="1" applyAlignment="1" applyProtection="1">
      <alignment horizontal="center" vertical="center" wrapText="1"/>
      <protection/>
    </xf>
    <xf numFmtId="0" fontId="10" fillId="0" borderId="7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49" fontId="17" fillId="0" borderId="71" xfId="0" applyNumberFormat="1" applyFont="1" applyBorder="1" applyAlignment="1" applyProtection="1">
      <alignment horizontal="center" vertical="center" wrapText="1"/>
      <protection/>
    </xf>
    <xf numFmtId="49" fontId="114" fillId="0" borderId="90" xfId="0" applyNumberFormat="1" applyFont="1" applyBorder="1" applyAlignment="1" applyProtection="1">
      <alignment horizontal="center" vertical="center" wrapText="1"/>
      <protection/>
    </xf>
    <xf numFmtId="0" fontId="17" fillId="0" borderId="42" xfId="0" applyFont="1" applyBorder="1" applyAlignment="1" applyProtection="1">
      <alignment horizontal="center" vertical="center" wrapText="1"/>
      <protection/>
    </xf>
    <xf numFmtId="0" fontId="114" fillId="0" borderId="42" xfId="0" applyFont="1" applyBorder="1" applyAlignment="1" applyProtection="1">
      <alignment horizontal="center" vertical="center" wrapText="1"/>
      <protection/>
    </xf>
    <xf numFmtId="0" fontId="114" fillId="0" borderId="91" xfId="0" applyFont="1" applyBorder="1" applyAlignment="1" applyProtection="1">
      <alignment horizontal="center" vertical="center" wrapText="1"/>
      <protection/>
    </xf>
    <xf numFmtId="0" fontId="17" fillId="0" borderId="71" xfId="0" applyFont="1" applyBorder="1" applyAlignment="1" applyProtection="1">
      <alignment horizontal="center" vertical="center" wrapText="1"/>
      <protection/>
    </xf>
    <xf numFmtId="0" fontId="114" fillId="0" borderId="90" xfId="0" applyFont="1" applyBorder="1" applyAlignment="1" applyProtection="1">
      <alignment horizontal="center" vertical="center" wrapText="1"/>
      <protection/>
    </xf>
    <xf numFmtId="4" fontId="17" fillId="0" borderId="76" xfId="0" applyNumberFormat="1" applyFont="1" applyBorder="1" applyAlignment="1" applyProtection="1">
      <alignment horizontal="center" vertical="center" wrapText="1"/>
      <protection/>
    </xf>
    <xf numFmtId="0" fontId="114" fillId="0" borderId="75" xfId="0" applyFont="1" applyBorder="1" applyAlignment="1" applyProtection="1">
      <alignment horizontal="center" vertical="center" wrapText="1"/>
      <protection/>
    </xf>
    <xf numFmtId="0" fontId="114" fillId="0" borderId="84" xfId="0" applyFont="1" applyBorder="1" applyAlignment="1" applyProtection="1">
      <alignment horizontal="center" vertical="center" wrapText="1"/>
      <protection/>
    </xf>
    <xf numFmtId="49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24" xfId="0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17" fillId="0" borderId="45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9" fillId="36" borderId="9" xfId="0" applyFont="1" applyFill="1" applyBorder="1" applyAlignment="1" applyProtection="1">
      <alignment horizontal="center" vertical="center" wrapText="1"/>
      <protection locked="0"/>
    </xf>
    <xf numFmtId="0" fontId="0" fillId="36" borderId="9" xfId="0" applyFill="1" applyBorder="1" applyAlignment="1" applyProtection="1">
      <alignment horizontal="center" vertical="center" wrapText="1"/>
      <protection locked="0"/>
    </xf>
    <xf numFmtId="0" fontId="0" fillId="36" borderId="40" xfId="0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7" fillId="0" borderId="56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0" fontId="17" fillId="0" borderId="57" xfId="0" applyFont="1" applyBorder="1" applyAlignment="1" applyProtection="1">
      <alignment horizontal="left" vertical="center" wrapText="1" indent="1"/>
      <protection/>
    </xf>
    <xf numFmtId="0" fontId="41" fillId="0" borderId="0" xfId="105" applyFont="1" applyFill="1" applyBorder="1" applyAlignment="1" applyProtection="1">
      <alignment horizontal="left" vertical="center" wrapText="1"/>
      <protection/>
    </xf>
    <xf numFmtId="49" fontId="41" fillId="0" borderId="0" xfId="105" applyNumberFormat="1" applyFont="1" applyBorder="1" applyAlignment="1" applyProtection="1">
      <alignment horizontal="center" vertical="top" wrapText="1"/>
      <protection/>
    </xf>
    <xf numFmtId="49" fontId="41" fillId="0" borderId="0" xfId="105" applyNumberFormat="1" applyFont="1" applyBorder="1" applyAlignment="1" applyProtection="1">
      <alignment horizontal="center" vertical="center" wrapText="1"/>
      <protection/>
    </xf>
    <xf numFmtId="0" fontId="41" fillId="0" borderId="0" xfId="105" applyFont="1" applyFill="1" applyBorder="1" applyAlignment="1" applyProtection="1">
      <alignment horizontal="left" vertical="top" wrapText="1"/>
      <protection/>
    </xf>
    <xf numFmtId="0" fontId="137" fillId="0" borderId="0" xfId="0" applyFont="1" applyAlignment="1" applyProtection="1">
      <alignment horizontal="center" vertical="center"/>
      <protection/>
    </xf>
    <xf numFmtId="0" fontId="123" fillId="0" borderId="0" xfId="0" applyFont="1" applyAlignment="1" applyProtection="1">
      <alignment horizontal="center" vertical="center"/>
      <protection/>
    </xf>
    <xf numFmtId="0" fontId="31" fillId="0" borderId="37" xfId="0" applyFont="1" applyBorder="1" applyAlignment="1" applyProtection="1">
      <alignment horizontal="center" vertical="center" wrapText="1"/>
      <protection/>
    </xf>
    <xf numFmtId="0" fontId="31" fillId="0" borderId="24" xfId="0" applyFont="1" applyBorder="1" applyAlignment="1" applyProtection="1">
      <alignment horizontal="center" vertical="center" wrapText="1"/>
      <protection/>
    </xf>
    <xf numFmtId="0" fontId="124" fillId="0" borderId="75" xfId="0" applyFont="1" applyBorder="1" applyAlignment="1" applyProtection="1">
      <alignment horizontal="center" vertical="center" wrapText="1"/>
      <protection/>
    </xf>
    <xf numFmtId="0" fontId="124" fillId="0" borderId="58" xfId="0" applyFont="1" applyBorder="1" applyAlignment="1" applyProtection="1">
      <alignment horizontal="center" vertical="center" wrapText="1"/>
      <protection/>
    </xf>
    <xf numFmtId="0" fontId="124" fillId="0" borderId="37" xfId="0" applyFont="1" applyBorder="1" applyAlignment="1" applyProtection="1">
      <alignment horizontal="center" vertical="center" wrapText="1"/>
      <protection/>
    </xf>
    <xf numFmtId="0" fontId="124" fillId="0" borderId="24" xfId="0" applyFont="1" applyBorder="1" applyAlignment="1" applyProtection="1">
      <alignment horizontal="center" vertical="center" wrapText="1"/>
      <protection/>
    </xf>
    <xf numFmtId="0" fontId="124" fillId="0" borderId="23" xfId="0" applyFont="1" applyBorder="1" applyAlignment="1" applyProtection="1">
      <alignment horizontal="center" vertical="center" wrapText="1"/>
      <protection/>
    </xf>
    <xf numFmtId="0" fontId="78" fillId="0" borderId="9" xfId="82" applyFont="1" applyBorder="1" applyAlignment="1" applyProtection="1">
      <alignment horizontal="center" vertical="center" wrapText="1"/>
      <protection/>
    </xf>
    <xf numFmtId="0" fontId="10" fillId="0" borderId="9" xfId="82" applyFont="1" applyBorder="1" applyAlignment="1" applyProtection="1">
      <alignment horizontal="center" vertical="center" wrapText="1"/>
      <protection/>
    </xf>
    <xf numFmtId="0" fontId="77" fillId="0" borderId="0" xfId="119" applyFont="1" applyAlignment="1">
      <alignment horizontal="center" wrapText="1"/>
      <protection/>
    </xf>
    <xf numFmtId="0" fontId="11" fillId="0" borderId="50" xfId="100" applyFont="1" applyFill="1" applyBorder="1" applyAlignment="1" applyProtection="1">
      <alignment horizontal="center" vertical="center" wrapText="1"/>
      <protection/>
    </xf>
    <xf numFmtId="0" fontId="11" fillId="0" borderId="28" xfId="100" applyFont="1" applyFill="1" applyBorder="1" applyAlignment="1" applyProtection="1">
      <alignment horizontal="center" vertical="center" wrapText="1"/>
      <protection/>
    </xf>
    <xf numFmtId="0" fontId="12" fillId="0" borderId="62" xfId="100" applyFont="1" applyFill="1" applyBorder="1" applyAlignment="1" applyProtection="1">
      <alignment horizontal="center" vertical="center" wrapText="1"/>
      <protection/>
    </xf>
    <xf numFmtId="0" fontId="12" fillId="0" borderId="29" xfId="100" applyFont="1" applyFill="1" applyBorder="1" applyAlignment="1" applyProtection="1">
      <alignment horizontal="center" vertical="center" wrapText="1"/>
      <protection/>
    </xf>
    <xf numFmtId="0" fontId="11" fillId="0" borderId="52" xfId="100" applyFont="1" applyFill="1" applyBorder="1" applyAlignment="1" applyProtection="1">
      <alignment horizontal="center" vertical="center" wrapText="1"/>
      <protection/>
    </xf>
    <xf numFmtId="0" fontId="11" fillId="0" borderId="31" xfId="100" applyFont="1" applyFill="1" applyBorder="1" applyAlignment="1" applyProtection="1">
      <alignment horizontal="center" vertical="center" wrapText="1"/>
      <protection/>
    </xf>
    <xf numFmtId="2" fontId="29" fillId="44" borderId="63" xfId="100" applyNumberFormat="1" applyFont="1" applyFill="1" applyBorder="1" applyAlignment="1" applyProtection="1">
      <alignment horizontal="center" vertical="center"/>
      <protection/>
    </xf>
    <xf numFmtId="2" fontId="29" fillId="44" borderId="91" xfId="100" applyNumberFormat="1" applyFont="1" applyFill="1" applyBorder="1" applyAlignment="1" applyProtection="1">
      <alignment horizontal="center" vertical="center"/>
      <protection/>
    </xf>
    <xf numFmtId="2" fontId="29" fillId="44" borderId="70" xfId="100" applyNumberFormat="1" applyFont="1" applyFill="1" applyBorder="1" applyAlignment="1" applyProtection="1">
      <alignment horizontal="center" vertical="center"/>
      <protection/>
    </xf>
    <xf numFmtId="1" fontId="29" fillId="44" borderId="14" xfId="100" applyNumberFormat="1" applyFont="1" applyFill="1" applyBorder="1" applyAlignment="1" applyProtection="1">
      <alignment horizontal="center" vertical="center"/>
      <protection/>
    </xf>
    <xf numFmtId="1" fontId="29" fillId="44" borderId="9" xfId="100" applyNumberFormat="1" applyFont="1" applyFill="1" applyBorder="1" applyAlignment="1" applyProtection="1">
      <alignment horizontal="center" vertical="center"/>
      <protection/>
    </xf>
    <xf numFmtId="1" fontId="29" fillId="44" borderId="40" xfId="100" applyNumberFormat="1" applyFont="1" applyFill="1" applyBorder="1" applyAlignment="1" applyProtection="1">
      <alignment horizontal="center" vertical="center"/>
      <protection/>
    </xf>
    <xf numFmtId="2" fontId="29" fillId="44" borderId="14" xfId="100" applyNumberFormat="1" applyFont="1" applyFill="1" applyBorder="1" applyAlignment="1" applyProtection="1">
      <alignment horizontal="center" vertical="center"/>
      <protection/>
    </xf>
    <xf numFmtId="2" fontId="29" fillId="44" borderId="9" xfId="100" applyNumberFormat="1" applyFont="1" applyFill="1" applyBorder="1" applyAlignment="1" applyProtection="1">
      <alignment horizontal="center" vertical="center"/>
      <protection/>
    </xf>
    <xf numFmtId="2" fontId="29" fillId="44" borderId="40" xfId="100" applyNumberFormat="1" applyFont="1" applyFill="1" applyBorder="1" applyAlignment="1" applyProtection="1">
      <alignment horizontal="center" vertical="center"/>
      <protection/>
    </xf>
    <xf numFmtId="3" fontId="29" fillId="44" borderId="14" xfId="100" applyNumberFormat="1" applyFont="1" applyFill="1" applyBorder="1" applyAlignment="1" applyProtection="1">
      <alignment horizontal="center" vertical="center"/>
      <protection/>
    </xf>
    <xf numFmtId="3" fontId="29" fillId="44" borderId="9" xfId="100" applyNumberFormat="1" applyFont="1" applyFill="1" applyBorder="1" applyAlignment="1" applyProtection="1">
      <alignment horizontal="center" vertical="center"/>
      <protection/>
    </xf>
    <xf numFmtId="3" fontId="29" fillId="44" borderId="40" xfId="100" applyNumberFormat="1" applyFont="1" applyFill="1" applyBorder="1" applyAlignment="1" applyProtection="1">
      <alignment horizontal="center" vertical="center"/>
      <protection/>
    </xf>
    <xf numFmtId="0" fontId="29" fillId="0" borderId="0" xfId="98" applyFont="1" applyFill="1" applyBorder="1" applyAlignment="1" applyProtection="1">
      <alignment horizontal="left" wrapText="1"/>
      <protection/>
    </xf>
    <xf numFmtId="2" fontId="29" fillId="44" borderId="45" xfId="100" applyNumberFormat="1" applyFont="1" applyFill="1" applyBorder="1" applyAlignment="1" applyProtection="1">
      <alignment horizontal="center" vertical="center"/>
      <protection/>
    </xf>
    <xf numFmtId="2" fontId="29" fillId="44" borderId="27" xfId="100" applyNumberFormat="1" applyFont="1" applyFill="1" applyBorder="1" applyAlignment="1" applyProtection="1">
      <alignment horizontal="center" vertical="center"/>
      <protection/>
    </xf>
    <xf numFmtId="2" fontId="29" fillId="44" borderId="46" xfId="100" applyNumberFormat="1" applyFont="1" applyFill="1" applyBorder="1" applyAlignment="1" applyProtection="1">
      <alignment horizontal="center" vertical="center"/>
      <protection/>
    </xf>
    <xf numFmtId="0" fontId="30" fillId="46" borderId="56" xfId="100" applyFont="1" applyFill="1" applyBorder="1" applyAlignment="1" applyProtection="1">
      <alignment horizontal="center" vertical="center" wrapText="1"/>
      <protection/>
    </xf>
    <xf numFmtId="0" fontId="29" fillId="46" borderId="23" xfId="100" applyFont="1" applyFill="1" applyBorder="1" applyAlignment="1" applyProtection="1">
      <alignment horizontal="center" vertical="center" wrapText="1"/>
      <protection/>
    </xf>
    <xf numFmtId="0" fontId="29" fillId="46" borderId="55" xfId="100" applyFont="1" applyFill="1" applyBorder="1" applyAlignment="1" applyProtection="1">
      <alignment horizontal="center" vertical="center" wrapText="1"/>
      <protection/>
    </xf>
    <xf numFmtId="0" fontId="29" fillId="44" borderId="63" xfId="100" applyFont="1" applyFill="1" applyBorder="1" applyAlignment="1" applyProtection="1">
      <alignment horizontal="center" vertical="center"/>
      <protection/>
    </xf>
    <xf numFmtId="0" fontId="29" fillId="44" borderId="91" xfId="100" applyFont="1" applyFill="1" applyBorder="1" applyAlignment="1" applyProtection="1">
      <alignment horizontal="center" vertical="center"/>
      <protection/>
    </xf>
    <xf numFmtId="0" fontId="29" fillId="44" borderId="70" xfId="100" applyFont="1" applyFill="1" applyBorder="1" applyAlignment="1" applyProtection="1">
      <alignment horizontal="center" vertical="center"/>
      <protection/>
    </xf>
    <xf numFmtId="1" fontId="29" fillId="44" borderId="67" xfId="100" applyNumberFormat="1" applyFont="1" applyFill="1" applyBorder="1" applyAlignment="1" applyProtection="1">
      <alignment horizontal="center" vertical="center"/>
      <protection/>
    </xf>
    <xf numFmtId="1" fontId="29" fillId="44" borderId="42" xfId="100" applyNumberFormat="1" applyFont="1" applyFill="1" applyBorder="1" applyAlignment="1" applyProtection="1">
      <alignment horizontal="center" vertical="center"/>
      <protection/>
    </xf>
    <xf numFmtId="1" fontId="29" fillId="44" borderId="43" xfId="100" applyNumberFormat="1" applyFont="1" applyFill="1" applyBorder="1" applyAlignment="1" applyProtection="1">
      <alignment horizontal="center" vertical="center"/>
      <protection/>
    </xf>
    <xf numFmtId="4" fontId="29" fillId="44" borderId="77" xfId="100" applyNumberFormat="1" applyFont="1" applyFill="1" applyBorder="1" applyAlignment="1" applyProtection="1">
      <alignment horizontal="center" vertical="center"/>
      <protection/>
    </xf>
    <xf numFmtId="4" fontId="29" fillId="44" borderId="58" xfId="100" applyNumberFormat="1" applyFont="1" applyFill="1" applyBorder="1" applyAlignment="1" applyProtection="1">
      <alignment horizontal="center" vertical="center"/>
      <protection/>
    </xf>
    <xf numFmtId="4" fontId="29" fillId="44" borderId="87" xfId="100" applyNumberFormat="1" applyFont="1" applyFill="1" applyBorder="1" applyAlignment="1" applyProtection="1">
      <alignment horizontal="center" vertical="center"/>
      <protection/>
    </xf>
    <xf numFmtId="0" fontId="29" fillId="44" borderId="41" xfId="100" applyFont="1" applyFill="1" applyBorder="1" applyAlignment="1" applyProtection="1">
      <alignment horizontal="center" vertical="center"/>
      <protection/>
    </xf>
    <xf numFmtId="0" fontId="29" fillId="44" borderId="48" xfId="100" applyFont="1" applyFill="1" applyBorder="1" applyAlignment="1" applyProtection="1">
      <alignment horizontal="center" vertical="center"/>
      <protection/>
    </xf>
    <xf numFmtId="0" fontId="29" fillId="44" borderId="49" xfId="100" applyFont="1" applyFill="1" applyBorder="1" applyAlignment="1" applyProtection="1">
      <alignment horizontal="center" vertical="center"/>
      <protection/>
    </xf>
    <xf numFmtId="0" fontId="29" fillId="0" borderId="71" xfId="100" applyFont="1" applyFill="1" applyBorder="1" applyAlignment="1" applyProtection="1">
      <alignment horizontal="center" vertical="center" wrapText="1"/>
      <protection/>
    </xf>
    <xf numFmtId="0" fontId="29" fillId="0" borderId="85" xfId="100" applyFont="1" applyFill="1" applyBorder="1" applyAlignment="1" applyProtection="1">
      <alignment horizontal="center" vertical="center" wrapText="1"/>
      <protection/>
    </xf>
    <xf numFmtId="0" fontId="29" fillId="0" borderId="90" xfId="100" applyFont="1" applyFill="1" applyBorder="1" applyAlignment="1" applyProtection="1">
      <alignment horizontal="center" vertical="center" wrapText="1"/>
      <protection/>
    </xf>
    <xf numFmtId="0" fontId="30" fillId="0" borderId="56" xfId="100" applyFont="1" applyFill="1" applyBorder="1" applyAlignment="1" applyProtection="1">
      <alignment horizontal="center" vertical="center" wrapText="1"/>
      <protection/>
    </xf>
    <xf numFmtId="0" fontId="29" fillId="0" borderId="64" xfId="100" applyFont="1" applyFill="1" applyBorder="1" applyAlignment="1" applyProtection="1">
      <alignment horizontal="center" vertical="center" wrapText="1"/>
      <protection/>
    </xf>
    <xf numFmtId="49" fontId="30" fillId="0" borderId="24" xfId="100" applyNumberFormat="1" applyFont="1" applyFill="1" applyBorder="1" applyAlignment="1" applyProtection="1">
      <alignment horizontal="center" vertical="center"/>
      <protection/>
    </xf>
    <xf numFmtId="49" fontId="30" fillId="0" borderId="78" xfId="100" applyNumberFormat="1" applyFont="1" applyFill="1" applyBorder="1" applyAlignment="1" applyProtection="1">
      <alignment horizontal="center" vertical="center"/>
      <protection/>
    </xf>
    <xf numFmtId="0" fontId="30" fillId="0" borderId="56" xfId="100" applyFont="1" applyBorder="1" applyAlignment="1" applyProtection="1">
      <alignment horizontal="center" vertical="center" wrapText="1"/>
      <protection/>
    </xf>
    <xf numFmtId="0" fontId="29" fillId="0" borderId="23" xfId="100" applyFont="1" applyBorder="1" applyAlignment="1" applyProtection="1">
      <alignment horizontal="center" vertical="center" wrapText="1"/>
      <protection/>
    </xf>
    <xf numFmtId="0" fontId="29" fillId="0" borderId="55" xfId="100" applyFont="1" applyBorder="1" applyAlignment="1" applyProtection="1">
      <alignment horizontal="center" vertical="center" wrapText="1"/>
      <protection/>
    </xf>
    <xf numFmtId="0" fontId="30" fillId="0" borderId="76" xfId="100" applyFont="1" applyFill="1" applyBorder="1" applyAlignment="1" applyProtection="1">
      <alignment horizontal="center" vertical="center" wrapText="1"/>
      <protection/>
    </xf>
    <xf numFmtId="0" fontId="29" fillId="0" borderId="75" xfId="100" applyFont="1" applyBorder="1" applyAlignment="1" applyProtection="1">
      <alignment horizontal="center" vertical="center" wrapText="1"/>
      <protection/>
    </xf>
    <xf numFmtId="0" fontId="29" fillId="0" borderId="81" xfId="100" applyFont="1" applyBorder="1" applyAlignment="1" applyProtection="1">
      <alignment horizontal="center" vertical="center"/>
      <protection/>
    </xf>
    <xf numFmtId="0" fontId="29" fillId="0" borderId="71" xfId="100" applyFont="1" applyBorder="1" applyAlignment="1" applyProtection="1">
      <alignment horizontal="center" vertical="center" wrapText="1"/>
      <protection/>
    </xf>
    <xf numFmtId="0" fontId="29" fillId="0" borderId="85" xfId="100" applyFont="1" applyBorder="1" applyAlignment="1" applyProtection="1">
      <alignment horizontal="center" vertical="center" wrapText="1"/>
      <protection/>
    </xf>
    <xf numFmtId="0" fontId="29" fillId="0" borderId="90" xfId="100" applyFont="1" applyBorder="1" applyAlignment="1" applyProtection="1">
      <alignment horizontal="center" vertical="center" wrapText="1"/>
      <protection/>
    </xf>
    <xf numFmtId="0" fontId="3" fillId="0" borderId="9" xfId="100" applyFont="1" applyFill="1" applyBorder="1" applyAlignment="1" applyProtection="1">
      <alignment horizontal="center" vertical="center" wrapText="1"/>
      <protection/>
    </xf>
    <xf numFmtId="0" fontId="3" fillId="0" borderId="9" xfId="100" applyFont="1" applyBorder="1" applyAlignment="1" applyProtection="1">
      <alignment horizontal="center" vertical="center" wrapText="1"/>
      <protection/>
    </xf>
    <xf numFmtId="0" fontId="3" fillId="0" borderId="9" xfId="100" applyFont="1" applyFill="1" applyBorder="1" applyAlignment="1" applyProtection="1">
      <alignment vertical="center"/>
      <protection/>
    </xf>
    <xf numFmtId="0" fontId="3" fillId="0" borderId="9" xfId="100" applyFont="1" applyBorder="1" applyAlignment="1" applyProtection="1">
      <alignment vertical="center"/>
      <protection/>
    </xf>
    <xf numFmtId="0" fontId="28" fillId="0" borderId="9" xfId="100" applyFont="1" applyFill="1" applyBorder="1" applyAlignment="1" applyProtection="1">
      <alignment horizontal="center" vertical="center" wrapText="1"/>
      <protection/>
    </xf>
    <xf numFmtId="0" fontId="3" fillId="0" borderId="0" xfId="100" applyFont="1" applyFill="1" applyBorder="1" applyAlignment="1" applyProtection="1">
      <alignment horizontal="left" vertical="center" wrapText="1"/>
      <protection/>
    </xf>
    <xf numFmtId="0" fontId="3" fillId="0" borderId="0" xfId="100" applyFont="1" applyAlignment="1" applyProtection="1">
      <alignment horizontal="left" vertical="center"/>
      <protection/>
    </xf>
    <xf numFmtId="0" fontId="33" fillId="0" borderId="0" xfId="94" applyFont="1" applyAlignment="1" applyProtection="1">
      <alignment horizontal="left" wrapText="1"/>
      <protection/>
    </xf>
    <xf numFmtId="0" fontId="3" fillId="0" borderId="0" xfId="94" applyFont="1" applyAlignment="1" applyProtection="1">
      <alignment horizontal="left" wrapText="1"/>
      <protection/>
    </xf>
    <xf numFmtId="0" fontId="3" fillId="0" borderId="9" xfId="94" applyFont="1" applyBorder="1" applyAlignment="1" applyProtection="1">
      <alignment horizontal="center" vertical="center" wrapText="1"/>
      <protection/>
    </xf>
    <xf numFmtId="0" fontId="0" fillId="0" borderId="9" xfId="94" applyFont="1" applyBorder="1" applyAlignment="1" applyProtection="1">
      <alignment horizontal="center" vertical="center"/>
      <protection/>
    </xf>
    <xf numFmtId="0" fontId="3" fillId="0" borderId="9" xfId="94" applyFont="1" applyBorder="1" applyAlignment="1" applyProtection="1">
      <alignment horizontal="center" vertical="center"/>
      <protection/>
    </xf>
    <xf numFmtId="0" fontId="3" fillId="0" borderId="9" xfId="94" applyFont="1" applyBorder="1" applyAlignment="1" applyProtection="1">
      <alignment vertical="center"/>
      <protection/>
    </xf>
    <xf numFmtId="0" fontId="0" fillId="0" borderId="9" xfId="100" applyFont="1" applyBorder="1" applyAlignment="1" applyProtection="1">
      <alignment horizontal="center" vertical="center" wrapText="1"/>
      <protection/>
    </xf>
    <xf numFmtId="0" fontId="3" fillId="0" borderId="9" xfId="100" applyFont="1" applyBorder="1" applyAlignment="1" applyProtection="1">
      <alignment vertical="center" wrapText="1"/>
      <protection/>
    </xf>
    <xf numFmtId="0" fontId="0" fillId="0" borderId="5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33" fillId="41" borderId="0" xfId="105" applyFont="1" applyFill="1" applyBorder="1" applyAlignment="1" applyProtection="1">
      <alignment horizontal="right" vertical="center" wrapText="1"/>
      <protection/>
    </xf>
    <xf numFmtId="49" fontId="3" fillId="0" borderId="0" xfId="88" applyFont="1" applyBorder="1" applyAlignment="1" applyProtection="1">
      <alignment horizontal="right" vertical="center" wrapText="1"/>
      <protection/>
    </xf>
    <xf numFmtId="0" fontId="0" fillId="0" borderId="9" xfId="105" applyFont="1" applyFill="1" applyBorder="1" applyAlignment="1" applyProtection="1">
      <alignment horizontal="center" vertical="center" wrapText="1"/>
      <protection/>
    </xf>
    <xf numFmtId="0" fontId="3" fillId="0" borderId="9" xfId="105" applyFont="1" applyFill="1" applyBorder="1" applyAlignment="1" applyProtection="1">
      <alignment horizontal="center" vertical="center" wrapText="1"/>
      <protection/>
    </xf>
    <xf numFmtId="0" fontId="0" fillId="41" borderId="9" xfId="105" applyFont="1" applyFill="1" applyBorder="1" applyAlignment="1" applyProtection="1">
      <alignment horizontal="center" vertical="center" wrapText="1"/>
      <protection/>
    </xf>
    <xf numFmtId="0" fontId="3" fillId="41" borderId="9" xfId="105" applyFont="1" applyFill="1" applyBorder="1" applyAlignment="1" applyProtection="1">
      <alignment horizontal="center" vertical="center" wrapText="1"/>
      <protection/>
    </xf>
    <xf numFmtId="49" fontId="3" fillId="36" borderId="9" xfId="100" applyNumberFormat="1" applyFont="1" applyFill="1" applyBorder="1" applyAlignment="1" applyProtection="1">
      <alignment horizontal="left" vertical="center" wrapText="1"/>
      <protection locked="0"/>
    </xf>
    <xf numFmtId="0" fontId="35" fillId="0" borderId="9" xfId="118" applyFont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100" applyFont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100" applyFont="1" applyFill="1" applyBorder="1" applyAlignment="1" applyProtection="1">
      <alignment horizontal="center" vertical="center" wrapText="1"/>
      <protection/>
    </xf>
    <xf numFmtId="0" fontId="29" fillId="0" borderId="9" xfId="100" applyFont="1" applyBorder="1" applyAlignment="1" applyProtection="1">
      <alignment horizontal="center" vertical="center" wrapText="1"/>
      <protection/>
    </xf>
    <xf numFmtId="0" fontId="123" fillId="0" borderId="9" xfId="100" applyFont="1" applyBorder="1" applyAlignment="1" applyProtection="1">
      <alignment horizontal="center" vertical="center" wrapText="1"/>
      <protection/>
    </xf>
    <xf numFmtId="0" fontId="29" fillId="0" borderId="9" xfId="100" applyFont="1" applyBorder="1" applyAlignment="1" applyProtection="1">
      <alignment vertical="center"/>
      <protection/>
    </xf>
    <xf numFmtId="0" fontId="29" fillId="0" borderId="9" xfId="100" applyFont="1" applyBorder="1" applyAlignment="1" applyProtection="1">
      <alignment horizontal="center" vertical="center"/>
      <protection/>
    </xf>
    <xf numFmtId="0" fontId="29" fillId="0" borderId="54" xfId="100" applyFont="1" applyBorder="1" applyAlignment="1" applyProtection="1">
      <alignment horizontal="center" vertical="center" wrapText="1"/>
      <protection/>
    </xf>
    <xf numFmtId="0" fontId="29" fillId="0" borderId="25" xfId="100" applyFont="1" applyBorder="1" applyAlignment="1" applyProtection="1">
      <alignment horizontal="center" vertical="center" wrapText="1"/>
      <protection/>
    </xf>
    <xf numFmtId="0" fontId="123" fillId="0" borderId="58" xfId="0" applyFont="1" applyFill="1" applyBorder="1" applyAlignment="1" applyProtection="1">
      <alignment horizontal="center" vertical="center"/>
      <protection/>
    </xf>
    <xf numFmtId="0" fontId="123" fillId="0" borderId="25" xfId="0" applyFont="1" applyFill="1" applyBorder="1" applyAlignment="1" applyProtection="1">
      <alignment horizontal="center" vertical="center"/>
      <protection/>
    </xf>
    <xf numFmtId="0" fontId="123" fillId="0" borderId="9" xfId="0" applyFont="1" applyFill="1" applyBorder="1" applyAlignment="1" applyProtection="1">
      <alignment horizontal="center" vertical="center" wrapText="1"/>
      <protection/>
    </xf>
    <xf numFmtId="0" fontId="123" fillId="0" borderId="62" xfId="0" applyFont="1" applyFill="1" applyBorder="1" applyAlignment="1" applyProtection="1">
      <alignment horizontal="center" vertical="center" wrapText="1"/>
      <protection/>
    </xf>
    <xf numFmtId="0" fontId="33" fillId="0" borderId="16" xfId="100" applyFont="1" applyFill="1" applyBorder="1" applyAlignment="1" applyProtection="1">
      <alignment vertical="center" wrapText="1"/>
      <protection/>
    </xf>
    <xf numFmtId="0" fontId="3" fillId="0" borderId="76" xfId="100" applyFont="1" applyFill="1" applyBorder="1" applyAlignment="1" applyProtection="1">
      <alignment horizontal="center" vertical="center" wrapText="1"/>
      <protection/>
    </xf>
    <xf numFmtId="0" fontId="3" fillId="0" borderId="75" xfId="100" applyFont="1" applyFill="1" applyBorder="1" applyAlignment="1" applyProtection="1">
      <alignment horizontal="center" vertical="center" wrapText="1"/>
      <protection/>
    </xf>
    <xf numFmtId="0" fontId="3" fillId="0" borderId="84" xfId="100" applyFont="1" applyFill="1" applyBorder="1" applyAlignment="1" applyProtection="1">
      <alignment horizontal="center" vertical="center" wrapText="1"/>
      <protection/>
    </xf>
    <xf numFmtId="0" fontId="3" fillId="0" borderId="77" xfId="100" applyFont="1" applyFill="1" applyBorder="1" applyAlignment="1" applyProtection="1">
      <alignment horizontal="center" vertical="center" wrapText="1"/>
      <protection/>
    </xf>
    <xf numFmtId="0" fontId="3" fillId="0" borderId="25" xfId="100" applyFont="1" applyFill="1" applyBorder="1" applyAlignment="1" applyProtection="1">
      <alignment horizontal="center" vertical="center" wrapText="1"/>
      <protection/>
    </xf>
    <xf numFmtId="0" fontId="3" fillId="0" borderId="59" xfId="100" applyFont="1" applyFill="1" applyBorder="1" applyAlignment="1" applyProtection="1">
      <alignment horizontal="center" vertical="center" wrapText="1"/>
      <protection/>
    </xf>
    <xf numFmtId="0" fontId="3" fillId="0" borderId="96" xfId="100" applyFont="1" applyFill="1" applyBorder="1" applyAlignment="1" applyProtection="1">
      <alignment horizontal="center" vertical="center" wrapText="1"/>
      <protection/>
    </xf>
    <xf numFmtId="0" fontId="3" fillId="0" borderId="57" xfId="100" applyFont="1" applyFill="1" applyBorder="1" applyAlignment="1" applyProtection="1">
      <alignment horizontal="center" vertical="center" wrapText="1"/>
      <protection/>
    </xf>
    <xf numFmtId="0" fontId="3" fillId="0" borderId="97" xfId="100" applyFont="1" applyFill="1" applyBorder="1" applyAlignment="1" applyProtection="1">
      <alignment horizontal="center" vertical="center" wrapText="1"/>
      <protection/>
    </xf>
    <xf numFmtId="0" fontId="3" fillId="0" borderId="58" xfId="100" applyFont="1" applyFill="1" applyBorder="1" applyAlignment="1" applyProtection="1">
      <alignment horizontal="center" vertical="center" wrapText="1"/>
      <protection/>
    </xf>
    <xf numFmtId="0" fontId="3" fillId="0" borderId="87" xfId="100" applyFont="1" applyFill="1" applyBorder="1" applyAlignment="1" applyProtection="1">
      <alignment horizontal="center" vertical="center" wrapText="1"/>
      <protection/>
    </xf>
    <xf numFmtId="0" fontId="3" fillId="0" borderId="79" xfId="100" applyFont="1" applyFill="1" applyBorder="1" applyAlignment="1" applyProtection="1">
      <alignment horizontal="center" vertical="center" wrapText="1"/>
      <protection/>
    </xf>
    <xf numFmtId="0" fontId="3" fillId="0" borderId="83" xfId="100" applyFont="1" applyFill="1" applyBorder="1" applyAlignment="1" applyProtection="1">
      <alignment horizontal="center" vertical="center" wrapText="1"/>
      <protection/>
    </xf>
    <xf numFmtId="0" fontId="0" fillId="0" borderId="77" xfId="100" applyFont="1" applyFill="1" applyBorder="1" applyAlignment="1" applyProtection="1">
      <alignment horizontal="center" vertical="center" wrapText="1"/>
      <protection/>
    </xf>
    <xf numFmtId="0" fontId="0" fillId="0" borderId="25" xfId="100" applyFont="1" applyFill="1" applyBorder="1" applyAlignment="1" applyProtection="1">
      <alignment horizontal="center" vertical="center" wrapText="1"/>
      <protection/>
    </xf>
    <xf numFmtId="0" fontId="0" fillId="0" borderId="54" xfId="100" applyFont="1" applyFill="1" applyBorder="1" applyAlignment="1" applyProtection="1">
      <alignment horizontal="center" vertical="center" wrapText="1"/>
      <protection/>
    </xf>
    <xf numFmtId="0" fontId="0" fillId="0" borderId="87" xfId="100" applyFont="1" applyFill="1" applyBorder="1" applyAlignment="1" applyProtection="1">
      <alignment horizontal="center" vertical="center" wrapText="1"/>
      <protection/>
    </xf>
    <xf numFmtId="0" fontId="3" fillId="0" borderId="71" xfId="100" applyFont="1" applyFill="1" applyBorder="1" applyAlignment="1" applyProtection="1">
      <alignment horizontal="center" vertical="center" wrapText="1"/>
      <protection/>
    </xf>
    <xf numFmtId="0" fontId="3" fillId="0" borderId="85" xfId="100" applyFont="1" applyFill="1" applyBorder="1" applyAlignment="1" applyProtection="1">
      <alignment horizontal="center" vertical="center" wrapText="1"/>
      <protection/>
    </xf>
    <xf numFmtId="0" fontId="3" fillId="0" borderId="80" xfId="100" applyFont="1" applyFill="1" applyBorder="1" applyAlignment="1" applyProtection="1">
      <alignment horizontal="center" vertical="center" wrapText="1"/>
      <protection/>
    </xf>
    <xf numFmtId="0" fontId="124" fillId="0" borderId="0" xfId="0" applyFont="1" applyBorder="1" applyAlignment="1" applyProtection="1">
      <alignment horizontal="center" vertical="center"/>
      <protection/>
    </xf>
    <xf numFmtId="0" fontId="65" fillId="0" borderId="0" xfId="0" applyFont="1" applyAlignment="1">
      <alignment horizontal="center"/>
    </xf>
    <xf numFmtId="0" fontId="135" fillId="0" borderId="0" xfId="0" applyFont="1" applyAlignment="1">
      <alignment horizontal="center"/>
    </xf>
    <xf numFmtId="0" fontId="123" fillId="0" borderId="62" xfId="0" applyFont="1" applyBorder="1" applyAlignment="1">
      <alignment horizontal="center" vertical="center"/>
    </xf>
    <xf numFmtId="0" fontId="123" fillId="0" borderId="18" xfId="0" applyFont="1" applyBorder="1" applyAlignment="1">
      <alignment horizontal="center" vertical="center"/>
    </xf>
    <xf numFmtId="0" fontId="123" fillId="0" borderId="62" xfId="0" applyFont="1" applyBorder="1" applyAlignment="1">
      <alignment horizontal="center" vertical="center" wrapText="1"/>
    </xf>
    <xf numFmtId="0" fontId="123" fillId="0" borderId="18" xfId="0" applyFont="1" applyBorder="1" applyAlignment="1">
      <alignment horizontal="center" vertical="center" wrapText="1"/>
    </xf>
    <xf numFmtId="0" fontId="123" fillId="0" borderId="54" xfId="0" applyFont="1" applyBorder="1" applyAlignment="1">
      <alignment horizontal="center" vertical="center" wrapText="1"/>
    </xf>
    <xf numFmtId="0" fontId="123" fillId="0" borderId="25" xfId="0" applyFont="1" applyBorder="1" applyAlignment="1">
      <alignment horizontal="center" vertical="center" wrapText="1"/>
    </xf>
    <xf numFmtId="0" fontId="123" fillId="0" borderId="9" xfId="0" applyFont="1" applyBorder="1" applyAlignment="1">
      <alignment horizontal="center" vertical="center" wrapText="1"/>
    </xf>
    <xf numFmtId="0" fontId="124" fillId="0" borderId="0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</cellXfs>
  <cellStyles count="128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Hyperlink" xfId="69"/>
    <cellStyle name="Гиперссылка 2" xfId="70"/>
    <cellStyle name="Гиперссылка 2 2 2" xfId="71"/>
    <cellStyle name="Гиперссылка 3" xfId="72"/>
    <cellStyle name="Гиперссылка 4" xfId="73"/>
    <cellStyle name="Гиперссылка 4 6" xfId="74"/>
    <cellStyle name="Currency" xfId="75"/>
    <cellStyle name="Currency [0]" xfId="76"/>
    <cellStyle name="Заголовок" xfId="77"/>
    <cellStyle name="Заголовок 1" xfId="78"/>
    <cellStyle name="Заголовок 2" xfId="79"/>
    <cellStyle name="Заголовок 3" xfId="80"/>
    <cellStyle name="Заголовок 4" xfId="81"/>
    <cellStyle name="ЗаголовокСтолбца" xfId="82"/>
    <cellStyle name="Значение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1" xfId="89"/>
    <cellStyle name="Обычный 12 2" xfId="90"/>
    <cellStyle name="Обычный 12 3 2" xfId="91"/>
    <cellStyle name="Обычный 12 4" xfId="92"/>
    <cellStyle name="Обычный 13" xfId="93"/>
    <cellStyle name="Обычный 14" xfId="94"/>
    <cellStyle name="Обычный 15" xfId="95"/>
    <cellStyle name="Обычный 2" xfId="96"/>
    <cellStyle name="Обычный 2 10" xfId="97"/>
    <cellStyle name="Обычный 2 10 2" xfId="98"/>
    <cellStyle name="Обычный 2 14" xfId="99"/>
    <cellStyle name="Обычный 2 8" xfId="100"/>
    <cellStyle name="Обычный 20" xfId="101"/>
    <cellStyle name="Обычный 20 2" xfId="102"/>
    <cellStyle name="Обычный 21" xfId="103"/>
    <cellStyle name="Обычный 21 2" xfId="104"/>
    <cellStyle name="Обычный 3" xfId="105"/>
    <cellStyle name="Обычный 3 2" xfId="106"/>
    <cellStyle name="Обычный 3 2 2" xfId="107"/>
    <cellStyle name="Обычный 3 3" xfId="108"/>
    <cellStyle name="Обычный 3 3 2" xfId="109"/>
    <cellStyle name="Обычный 4" xfId="110"/>
    <cellStyle name="Обычный 5" xfId="111"/>
    <cellStyle name="Обычный 6" xfId="112"/>
    <cellStyle name="Обычный_Kom kompleks" xfId="113"/>
    <cellStyle name="Обычный_PRIL1.ELECTR" xfId="114"/>
    <cellStyle name="Обычный_SIMPLE_1_massive2" xfId="115"/>
    <cellStyle name="Обычный_ЖКУ_проект3" xfId="116"/>
    <cellStyle name="Обычный_Мониторинг инвестиций" xfId="117"/>
    <cellStyle name="Обычный_Полезный отпуск электроэнергии и мощности, реализуемой по регулируемым ценам" xfId="118"/>
    <cellStyle name="Обычный_расчет_08_вар1 08.02.07 вечер" xfId="119"/>
    <cellStyle name="Обычный_Стандарт(v0.3)" xfId="120"/>
    <cellStyle name="Обычный_форма 1 водопровод для орг_CALC.KV.4.78(v1.0)" xfId="121"/>
    <cellStyle name="Обычный_Шаблон по источникам для Модуля Реестр (2)" xfId="122"/>
    <cellStyle name="Followed Hyperlink" xfId="123"/>
    <cellStyle name="Плохой" xfId="124"/>
    <cellStyle name="Пояснение" xfId="125"/>
    <cellStyle name="Примечание" xfId="126"/>
    <cellStyle name="Percent" xfId="127"/>
    <cellStyle name="Процентный 10" xfId="128"/>
    <cellStyle name="Процентный 2" xfId="129"/>
    <cellStyle name="Процентный 3" xfId="130"/>
    <cellStyle name="Процентный 5" xfId="131"/>
    <cellStyle name="Процентный 5 2" xfId="132"/>
    <cellStyle name="Связанная ячейка" xfId="133"/>
    <cellStyle name="Стиль 2" xfId="134"/>
    <cellStyle name="Текст предупреждения" xfId="135"/>
    <cellStyle name="Comma" xfId="136"/>
    <cellStyle name="Comma [0]" xfId="137"/>
    <cellStyle name="Финансовый 3" xfId="138"/>
    <cellStyle name="Финансовый 3 2" xfId="139"/>
    <cellStyle name="Формула_Form100_2008" xfId="140"/>
    <cellStyle name="Хороший" xfId="141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ill>
        <patternFill>
          <bgColor rgb="FF99FFCC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2438400</xdr:colOff>
      <xdr:row>8</xdr:row>
      <xdr:rowOff>0</xdr:rowOff>
    </xdr:from>
    <xdr:to>
      <xdr:col>1</xdr:col>
      <xdr:colOff>9525</xdr:colOff>
      <xdr:row>8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4382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2238375</xdr:colOff>
      <xdr:row>8</xdr:row>
      <xdr:rowOff>0</xdr:rowOff>
    </xdr:from>
    <xdr:to>
      <xdr:col>0</xdr:col>
      <xdr:colOff>2238375</xdr:colOff>
      <xdr:row>8</xdr:row>
      <xdr:rowOff>152400</xdr:rowOff>
    </xdr:to>
    <xdr:pic>
      <xdr:nvPicPr>
        <xdr:cNvPr id="2" name="ExcludeHelp_1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14382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2438400</xdr:colOff>
      <xdr:row>9</xdr:row>
      <xdr:rowOff>0</xdr:rowOff>
    </xdr:from>
    <xdr:to>
      <xdr:col>1</xdr:col>
      <xdr:colOff>9525</xdr:colOff>
      <xdr:row>9</xdr:row>
      <xdr:rowOff>190500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7811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2228850</xdr:colOff>
      <xdr:row>7</xdr:row>
      <xdr:rowOff>38100</xdr:rowOff>
    </xdr:from>
    <xdr:to>
      <xdr:col>4</xdr:col>
      <xdr:colOff>0</xdr:colOff>
      <xdr:row>8</xdr:row>
      <xdr:rowOff>0</xdr:rowOff>
    </xdr:to>
    <xdr:sp>
      <xdr:nvSpPr>
        <xdr:cNvPr id="1" name="cmdStart2" hidden="1"/>
        <xdr:cNvSpPr>
          <a:spLocks/>
        </xdr:cNvSpPr>
      </xdr:nvSpPr>
      <xdr:spPr>
        <a:xfrm>
          <a:off x="3048000" y="1295400"/>
          <a:ext cx="1076325" cy="16192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Продолжить заполнение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771525</xdr:colOff>
      <xdr:row>8</xdr:row>
      <xdr:rowOff>66675</xdr:rowOff>
    </xdr:from>
    <xdr:to>
      <xdr:col>2</xdr:col>
      <xdr:colOff>771525</xdr:colOff>
      <xdr:row>11</xdr:row>
      <xdr:rowOff>180975</xdr:rowOff>
    </xdr:to>
    <xdr:pic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590675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85725</xdr:rowOff>
    </xdr:from>
    <xdr:to>
      <xdr:col>3</xdr:col>
      <xdr:colOff>2143125</xdr:colOff>
      <xdr:row>7</xdr:row>
      <xdr:rowOff>371475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2114550"/>
          <a:ext cx="2047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1800225</xdr:colOff>
      <xdr:row>8</xdr:row>
      <xdr:rowOff>295275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3448050"/>
          <a:ext cx="1704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9</xdr:row>
      <xdr:rowOff>38100</xdr:rowOff>
    </xdr:from>
    <xdr:to>
      <xdr:col>3</xdr:col>
      <xdr:colOff>2257425</xdr:colOff>
      <xdr:row>9</xdr:row>
      <xdr:rowOff>304800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5514975"/>
          <a:ext cx="2085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1495425</xdr:colOff>
      <xdr:row>10</xdr:row>
      <xdr:rowOff>266700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9900" y="7229475"/>
          <a:ext cx="1495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Rar$DIa0.265\Users\GusevAY\Desktop\&#1054;&#1054;&#1054;%20&#1057;&#1090;&#1088;&#1086;&#1081;&#1089;&#1086;&#1102;&#1079;-&#1057;&#1077;&#1088;&#1074;&#1080;&#1089;\VS.%20&#1054;&#1054;&#1054;%20&#1057;&#1090;&#1088;&#1086;&#1081;&#1089;&#1086;&#1102;&#1079;-&#1057;&#1077;&#1088;&#1074;&#1080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55;%20&#1042;&#1054;%20&#1080;%20&#1050;&#1072;&#1083;&#1100;&#1082;%20&#1042;&#1054;%20&#1079;&#1072;&#1103;&#1074;&#1082;&#1072;%20&#1084;&#1077;&#1090;&#1086;&#1076;&#1086;&#1084;%20&#1080;&#1085;&#1076;&#1077;&#1082;&#1089;&#1072;&#1094;&#1080;&#1080;%202016-2018%20&#1075;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Rar$DIa0.265\Users\default.default-PC\Documents\&#1064;&#1040;&#1041;&#1051;&#1054;&#1053;&#1067;\VO.TARIFF.REQUEST.2015.1.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\AppData\Local\Temp\Rar$DIa0.707\Users\GusevAY\Desktop\&#1054;&#1054;&#1054;%20&#1057;&#1090;&#1088;&#1086;&#1081;&#1089;&#1086;&#1102;&#1079;-&#1057;&#1077;&#1088;&#1074;&#1080;&#1089;\VS.%20&#1054;&#1054;&#1054;%20&#1057;&#1090;&#1088;&#1086;&#1081;&#1089;&#1086;&#1102;&#1079;-&#1057;&#1077;&#1088;&#1074;&#1080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\AppData\Local\Temp\Rar$DIa0.707\Users\default.default-PC\Documents\&#1064;&#1040;&#1041;&#1051;&#1054;&#1053;&#1067;\VO.TARIFF.REQUEST.2015.1.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55;%20&#1042;&#1054;%20&#1080;%20&#1050;&#1072;&#1083;&#1100;&#1082;%20&#1042;&#1054;%20&#1079;&#1072;&#1103;&#1074;&#1082;&#1072;%20&#1084;&#1077;&#1090;&#1086;&#1076;&#1086;&#1084;%20&#1080;&#1085;&#1076;&#1077;&#1082;&#1089;&#1072;&#1094;&#1080;&#1080;%202016-2018%20&#1075;&#1075;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0;&#1086;&#1084;&#1084;&#1091;&#1085;&#1072;&#1083;&#1100;&#1085;&#1099;&#1081;%20&#1082;&#1086;&#1084;&#1087;&#1083;&#1077;&#1082;&#1089;_&#1042;&#1054;&#1044;&#1040;\-=%20&#1042;&#1086;&#1076;&#1072;%20=-\&#1050;&#1054;&#1044;&#1067;_&#1088;&#1077;&#1075;&#1091;&#1083;&#1080;&#1088;&#1086;&#1074;&#1072;&#1085;&#1080;&#1103;\&#1085;&#1072;%202017\&#1057;&#1074;&#1077;&#1076;&#1077;&#1085;&#1080;&#1103;_&#1042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_01"/>
      <sheetName val="mod_102"/>
      <sheetName val="modListProv"/>
      <sheetName val="modfrmReestrMR"/>
      <sheetName val="modfrmReestr"/>
      <sheetName val="modFill"/>
      <sheetName val="Инструкция"/>
      <sheetName val="Лог обновления"/>
      <sheetName val="Титульный"/>
      <sheetName val="Карточка"/>
      <sheetName val="Список МО"/>
      <sheetName val="ПП ВС"/>
      <sheetName val="Калькуляция ВС"/>
      <sheetName val="Абоненты"/>
      <sheetName val="Материалы"/>
      <sheetName val="Ср.тариф ЭЭ"/>
      <sheetName val="Расход ЭЭ"/>
      <sheetName val="Численность"/>
      <sheetName val="Амортизация"/>
      <sheetName val="Тек.ремонты и ТО, факт"/>
      <sheetName val="Тек.ремонты и ТО, план"/>
      <sheetName val="Кап.ремонт, факт"/>
      <sheetName val="Кап.ремонт, план"/>
      <sheetName val="Аренда факт"/>
      <sheetName val="Аренда план"/>
      <sheetName val="Цеховые расходы"/>
      <sheetName val="Общеэксплуатационные"/>
      <sheetName val="Покупная продукция (услуги)"/>
      <sheetName val="Водный налог"/>
      <sheetName val="Земельный налог"/>
      <sheetName val="Мероприятия"/>
      <sheetName val="Комментарии"/>
      <sheetName val="Проверка"/>
      <sheetName val="et_union"/>
      <sheetName val="TEHSHEET"/>
      <sheetName val="EXTENDED_RST_DIC"/>
      <sheetName val="modInfo"/>
      <sheetName val="AllSheetsInThisWorkbook"/>
      <sheetName val="mod_02"/>
      <sheetName val="mod_03"/>
      <sheetName val="mod_101"/>
      <sheetName val="mod_103"/>
      <sheetName val="mod_104"/>
      <sheetName val="mod_105"/>
      <sheetName val="mod_106"/>
      <sheetName val="mod_107"/>
      <sheetName val="mod_108"/>
      <sheetName val="mod_109"/>
      <sheetName val="mod_110"/>
      <sheetName val="mod_111"/>
      <sheetName val="mod_112"/>
      <sheetName val="mod_113"/>
      <sheetName val="mod_114"/>
      <sheetName val="mod_115"/>
      <sheetName val="mod_116"/>
      <sheetName val="mod_117"/>
      <sheetName val="mod_118"/>
      <sheetName val="mod_119"/>
      <sheetName val="mod_120"/>
      <sheetName val="REESTR_MO"/>
      <sheetName val="REESTR_ORG"/>
      <sheetName val="REESTR_DATA"/>
      <sheetName val="REESTR_MO_LA"/>
      <sheetName val="REESTR_MO_PA"/>
      <sheetName val="modReestr"/>
      <sheetName val="modfrmSecretCode"/>
      <sheetName val="modfrmDateChoose"/>
      <sheetName val="modCommandButton"/>
      <sheetName val="modfrmCheckUpdates"/>
      <sheetName val="modUpdTemplMain"/>
      <sheetName val="modDoubleClick"/>
      <sheetName val="modHyperlink"/>
      <sheetName val="modHyp"/>
      <sheetName val="modComm"/>
      <sheetName val="modButton"/>
      <sheetName val="modIHLCommandBar"/>
      <sheetName val="VS. ООО Стройсоюз-Сервис"/>
    </sheetNames>
    <sheetDataSet>
      <sheetData sheetId="8">
        <row r="21">
          <cell r="F21" t="str">
            <v>ООО "Стройсоюз-Сервис"</v>
          </cell>
        </row>
        <row r="64">
          <cell r="F64" t="str">
            <v>инженер</v>
          </cell>
        </row>
      </sheetData>
      <sheetData sheetId="10">
        <row r="14">
          <cell r="E14" t="str">
            <v>городской округ Котельники</v>
          </cell>
        </row>
      </sheetData>
      <sheetData sheetId="34">
        <row r="2">
          <cell r="G2" t="str">
            <v>да</v>
          </cell>
        </row>
        <row r="3">
          <cell r="G3" t="str">
            <v>нет</v>
          </cell>
        </row>
        <row r="8">
          <cell r="H8" t="str">
            <v>счетчик</v>
          </cell>
        </row>
        <row r="9">
          <cell r="H9" t="str">
            <v>норматив</v>
          </cell>
        </row>
        <row r="10">
          <cell r="H10" t="str">
            <v>смешанное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равочники"/>
      <sheetName val="ПП ВО "/>
      <sheetName val="Баланс ВО"/>
      <sheetName val="Расчет тарифов"/>
      <sheetName val="Абоненты"/>
      <sheetName val="Материалы"/>
      <sheetName val="Ср. тариф ЭЭ"/>
      <sheetName val="Расходы ЭЭ"/>
      <sheetName val="Числ-ть"/>
      <sheetName val="Амортизация"/>
      <sheetName val="Тек.ремонты, факт"/>
      <sheetName val="Тек.ремонты, план"/>
      <sheetName val="Кап.ремонт, факт"/>
      <sheetName val="Кап.ремонт, план"/>
      <sheetName val="Аренда, факт"/>
      <sheetName val="Аренда, план"/>
      <sheetName val="Цех. (произв.) расходы "/>
      <sheetName val="Администр. расходы"/>
      <sheetName val="Покупная продукция"/>
      <sheetName val="земельн. налог "/>
      <sheetName val="Мероприятия"/>
      <sheetName val="Кап. вложения"/>
      <sheetName val="коррект. НВВ"/>
    </sheetNames>
    <sheetDataSet>
      <sheetData sheetId="1">
        <row r="1">
          <cell r="A1" t="str">
            <v>Общая система налогообложения</v>
          </cell>
        </row>
        <row r="2">
          <cell r="A2" t="str">
            <v>Упрощенная система налогообложения</v>
          </cell>
        </row>
        <row r="3">
          <cell r="A3" t="str">
            <v>НДС не взимается в соответствии со статьями 145 и 146 НК РФ</v>
          </cell>
        </row>
        <row r="4">
          <cell r="A4" t="str">
            <v>НДС не взимается в соответствии со статьей 149 НК РФ</v>
          </cell>
        </row>
        <row r="5">
          <cell r="A5" t="str">
            <v>НДС не взимается в связи с уплатой единого сельскохозяйственного налога</v>
          </cell>
        </row>
        <row r="7">
          <cell r="A7" t="str">
            <v>версия организации</v>
          </cell>
        </row>
        <row r="8">
          <cell r="A8" t="str">
            <v>версия регулятора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ListProv"/>
      <sheetName val="modFill"/>
      <sheetName val="mod_01"/>
      <sheetName val="mod_102"/>
      <sheetName val="Инструкция"/>
      <sheetName val="Лог обновления"/>
      <sheetName val="Титульный"/>
      <sheetName val="Карточка"/>
      <sheetName val="Список МО"/>
      <sheetName val="ПП ВО"/>
      <sheetName val="Калькуляция ВО"/>
      <sheetName val="Абоненты"/>
      <sheetName val="Материалы"/>
      <sheetName val="Ср.тариф ЭЭ"/>
      <sheetName val="Расход ЭЭ"/>
      <sheetName val="Численность"/>
      <sheetName val="Амортизация"/>
      <sheetName val="Тек.ремонты и ТО, факт"/>
      <sheetName val="Тек.ремонты и ТО, план"/>
      <sheetName val="Кап.ремонт, факт"/>
      <sheetName val="Кап.ремонт, план"/>
      <sheetName val="Аренда факт"/>
      <sheetName val="Аренда план"/>
      <sheetName val="Цеховые расходы"/>
      <sheetName val="Общеэксплуатационные"/>
      <sheetName val="Покупная продукция (услуги)"/>
      <sheetName val="Земельный налог"/>
      <sheetName val="Мероприятия"/>
      <sheetName val="Комментарии"/>
      <sheetName val="Проверка"/>
      <sheetName val="et_union"/>
      <sheetName val="TEHSHEET"/>
      <sheetName val="EXTENDED_RST_DIC"/>
      <sheetName val="modInfo"/>
      <sheetName val="AllSheetsInThisWorkbook"/>
      <sheetName val="mod_02"/>
      <sheetName val="mod_03"/>
      <sheetName val="mod_101"/>
      <sheetName val="mod_103"/>
      <sheetName val="mod_104"/>
      <sheetName val="mod_105"/>
      <sheetName val="mod_106"/>
      <sheetName val="mod_107"/>
      <sheetName val="mod_108"/>
      <sheetName val="mod_109"/>
      <sheetName val="mod_110"/>
      <sheetName val="mod_111"/>
      <sheetName val="mod_112"/>
      <sheetName val="mod_113"/>
      <sheetName val="mod_114"/>
      <sheetName val="mod_115"/>
      <sheetName val="mod_117"/>
      <sheetName val="mod_118"/>
      <sheetName val="mod_119"/>
      <sheetName val="mod_120"/>
      <sheetName val="REESTR_MO"/>
      <sheetName val="REESTR_ORG"/>
      <sheetName val="REESTR_DATA"/>
      <sheetName val="REESTR_MO_LA"/>
      <sheetName val="REESTR_MO_PA"/>
      <sheetName val="modfrmReestrMR"/>
      <sheetName val="modReestr"/>
      <sheetName val="modfrmReestr"/>
      <sheetName val="modfrmSecretCode"/>
      <sheetName val="modfrmDateChoose"/>
      <sheetName val="modCommandButton"/>
      <sheetName val="modfrmCheckUpdates"/>
      <sheetName val="modUpdTemplMain"/>
      <sheetName val="modDoubleClick"/>
      <sheetName val="modHyperlink"/>
      <sheetName val="modHyp"/>
      <sheetName val="modComm"/>
      <sheetName val="modButton"/>
      <sheetName val="modIHLCommandBar"/>
      <sheetName val="VO.TARIFF.REQUEST.2015.1.50"/>
    </sheetNames>
    <sheetDataSet>
      <sheetData sheetId="4">
        <row r="3">
          <cell r="B3" t="str">
            <v>Версия 1.1.5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_01"/>
      <sheetName val="mod_102"/>
      <sheetName val="modListProv"/>
      <sheetName val="modfrmReestrMR"/>
      <sheetName val="modfrmReestr"/>
      <sheetName val="modFill"/>
      <sheetName val="Инструкция"/>
      <sheetName val="Лог обновления"/>
      <sheetName val="Титульный"/>
      <sheetName val="Карточка"/>
      <sheetName val="Список МО"/>
      <sheetName val="ПП ВС"/>
      <sheetName val="Калькуляция ВС"/>
      <sheetName val="Абоненты"/>
      <sheetName val="Материалы"/>
      <sheetName val="Ср.тариф ЭЭ"/>
      <sheetName val="Расход ЭЭ"/>
      <sheetName val="Численность"/>
      <sheetName val="Амортизация"/>
      <sheetName val="Тек.ремонты и ТО, факт"/>
      <sheetName val="Тек.ремонты и ТО, план"/>
      <sheetName val="Кап.ремонт, факт"/>
      <sheetName val="Кап.ремонт, план"/>
      <sheetName val="Аренда факт"/>
      <sheetName val="Аренда план"/>
      <sheetName val="Цеховые расходы"/>
      <sheetName val="Общеэксплуатационные"/>
      <sheetName val="Покупная продукция (услуги)"/>
      <sheetName val="Водный налог"/>
      <sheetName val="Земельный налог"/>
      <sheetName val="Мероприятия"/>
      <sheetName val="Комментарии"/>
      <sheetName val="Проверка"/>
      <sheetName val="et_union"/>
      <sheetName val="TEHSHEET"/>
      <sheetName val="EXTENDED_RST_DIC"/>
      <sheetName val="modInfo"/>
      <sheetName val="AllSheetsInThisWorkbook"/>
      <sheetName val="mod_02"/>
      <sheetName val="mod_03"/>
      <sheetName val="mod_101"/>
      <sheetName val="mod_103"/>
      <sheetName val="mod_104"/>
      <sheetName val="mod_105"/>
      <sheetName val="mod_106"/>
      <sheetName val="mod_107"/>
      <sheetName val="mod_108"/>
      <sheetName val="mod_109"/>
      <sheetName val="mod_110"/>
      <sheetName val="mod_111"/>
      <sheetName val="mod_112"/>
      <sheetName val="mod_113"/>
      <sheetName val="mod_114"/>
      <sheetName val="mod_115"/>
      <sheetName val="mod_116"/>
      <sheetName val="mod_117"/>
      <sheetName val="mod_118"/>
      <sheetName val="mod_119"/>
      <sheetName val="mod_120"/>
      <sheetName val="REESTR_MO"/>
      <sheetName val="REESTR_ORG"/>
      <sheetName val="REESTR_DATA"/>
      <sheetName val="REESTR_MO_LA"/>
      <sheetName val="REESTR_MO_PA"/>
      <sheetName val="modReestr"/>
      <sheetName val="modfrmSecretCode"/>
      <sheetName val="modfrmDateChoose"/>
      <sheetName val="modCommandButton"/>
      <sheetName val="modfrmCheckUpdates"/>
      <sheetName val="modUpdTemplMain"/>
      <sheetName val="modDoubleClick"/>
      <sheetName val="modHyperlink"/>
      <sheetName val="modHyp"/>
      <sheetName val="modComm"/>
      <sheetName val="modButton"/>
      <sheetName val="modIHLCommandBar"/>
    </sheetNames>
    <sheetDataSet>
      <sheetData sheetId="8">
        <row r="21">
          <cell r="F21" t="str">
            <v>ООО "Стройсоюз-Сервис"</v>
          </cell>
        </row>
        <row r="64">
          <cell r="F64" t="str">
            <v>инженер</v>
          </cell>
        </row>
      </sheetData>
      <sheetData sheetId="10">
        <row r="14">
          <cell r="E14" t="str">
            <v>городской округ Котельники</v>
          </cell>
        </row>
      </sheetData>
      <sheetData sheetId="34">
        <row r="2">
          <cell r="G2" t="str">
            <v>да</v>
          </cell>
        </row>
        <row r="3">
          <cell r="G3" t="str">
            <v>нет</v>
          </cell>
        </row>
        <row r="8">
          <cell r="H8" t="str">
            <v>счетчик</v>
          </cell>
        </row>
        <row r="9">
          <cell r="H9" t="str">
            <v>норматив</v>
          </cell>
        </row>
        <row r="10">
          <cell r="H10" t="str">
            <v>смешанное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dListProv"/>
      <sheetName val="modFill"/>
      <sheetName val="mod_01"/>
      <sheetName val="mod_102"/>
      <sheetName val="Инструкция"/>
      <sheetName val="Лог обновления"/>
      <sheetName val="Титульный"/>
      <sheetName val="Карточка"/>
      <sheetName val="Список МО"/>
      <sheetName val="ПП ВО"/>
      <sheetName val="Калькуляция ВО"/>
      <sheetName val="Абоненты"/>
      <sheetName val="Материалы"/>
      <sheetName val="Ср.тариф ЭЭ"/>
      <sheetName val="Расход ЭЭ"/>
      <sheetName val="Численность"/>
      <sheetName val="Амортизация"/>
      <sheetName val="Тек.ремонты и ТО, факт"/>
      <sheetName val="Тек.ремонты и ТО, план"/>
      <sheetName val="Кап.ремонт, факт"/>
      <sheetName val="Кап.ремонт, план"/>
      <sheetName val="Аренда факт"/>
      <sheetName val="Аренда план"/>
      <sheetName val="Цеховые расходы"/>
      <sheetName val="Общеэксплуатационные"/>
      <sheetName val="Покупная продукция (услуги)"/>
      <sheetName val="Земельный налог"/>
      <sheetName val="Мероприятия"/>
      <sheetName val="Комментарии"/>
      <sheetName val="Проверка"/>
      <sheetName val="et_union"/>
      <sheetName val="TEHSHEET"/>
      <sheetName val="EXTENDED_RST_DIC"/>
      <sheetName val="modInfo"/>
      <sheetName val="AllSheetsInThisWorkbook"/>
      <sheetName val="mod_02"/>
      <sheetName val="mod_03"/>
      <sheetName val="mod_101"/>
      <sheetName val="mod_103"/>
      <sheetName val="mod_104"/>
      <sheetName val="mod_105"/>
      <sheetName val="mod_106"/>
      <sheetName val="mod_107"/>
      <sheetName val="mod_108"/>
      <sheetName val="mod_109"/>
      <sheetName val="mod_110"/>
      <sheetName val="mod_111"/>
      <sheetName val="mod_112"/>
      <sheetName val="mod_113"/>
      <sheetName val="mod_114"/>
      <sheetName val="mod_115"/>
      <sheetName val="mod_117"/>
      <sheetName val="mod_118"/>
      <sheetName val="mod_119"/>
      <sheetName val="mod_120"/>
      <sheetName val="REESTR_MO"/>
      <sheetName val="REESTR_ORG"/>
      <sheetName val="REESTR_DATA"/>
      <sheetName val="REESTR_MO_LA"/>
      <sheetName val="REESTR_MO_PA"/>
      <sheetName val="modfrmReestrMR"/>
      <sheetName val="modReestr"/>
      <sheetName val="modfrmReestr"/>
      <sheetName val="modfrmSecretCode"/>
      <sheetName val="modfrmDateChoose"/>
      <sheetName val="modCommandButton"/>
      <sheetName val="modfrmCheckUpdates"/>
      <sheetName val="modUpdTemplMain"/>
      <sheetName val="modDoubleClick"/>
      <sheetName val="modHyperlink"/>
      <sheetName val="modHyp"/>
      <sheetName val="modComm"/>
      <sheetName val="modButton"/>
      <sheetName val="modIHLCommandBar"/>
      <sheetName val="VO.TARIFF.REQUEST.2015.1.50"/>
    </sheetNames>
    <sheetDataSet>
      <sheetData sheetId="4">
        <row r="3">
          <cell r="B3" t="str">
            <v>Версия 1.1.5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равочники"/>
      <sheetName val="ПП ВО "/>
      <sheetName val="Баланс ВО"/>
      <sheetName val="Расчет тарифов"/>
      <sheetName val="Абоненты"/>
      <sheetName val="Материалы"/>
      <sheetName val="Ср. тариф ЭЭ"/>
      <sheetName val="Расходы ЭЭ"/>
      <sheetName val="Числ-ть"/>
      <sheetName val="Амортизация"/>
      <sheetName val="Тек.ремонты, факт"/>
      <sheetName val="Тек.ремонты, план"/>
      <sheetName val="Кап.ремонт, факт"/>
      <sheetName val="Кап.ремонт, план"/>
      <sheetName val="Аренда, факт"/>
      <sheetName val="Аренда, план"/>
      <sheetName val="Цех. (произв.) расходы "/>
      <sheetName val="Администр. расходы"/>
      <sheetName val="Покупная продукция"/>
      <sheetName val="земельн. налог "/>
      <sheetName val="Мероприятия"/>
      <sheetName val="Кап. вложения"/>
      <sheetName val="коррект. НВВ"/>
    </sheetNames>
    <sheetDataSet>
      <sheetData sheetId="1">
        <row r="7">
          <cell r="A7" t="str">
            <v>версия организации</v>
          </cell>
        </row>
        <row r="8">
          <cell r="A8" t="str">
            <v>версия регулятора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равочник"/>
      <sheetName val="ПП ВС"/>
      <sheetName val="ВР ПП ВС"/>
      <sheetName val="Баланс ВС"/>
      <sheetName val="Индексы"/>
      <sheetName val="Расчет тарифов"/>
      <sheetName val="Экспертное заключение"/>
      <sheetName val="Абоненты"/>
      <sheetName val="Материалы"/>
      <sheetName val="Ср. тариф ЭЭ"/>
      <sheetName val="Расходы ЭЭ"/>
      <sheetName val="Численность"/>
      <sheetName val="Амортизация"/>
      <sheetName val="Тек.ремонты и ТО, факт"/>
      <sheetName val="Тек.ремонты и ТО, план"/>
      <sheetName val="Кап.ремонт, факт"/>
      <sheetName val="Кап.ремонт, план"/>
      <sheetName val="Аренда, факт"/>
      <sheetName val="Аренда, план"/>
      <sheetName val="Цех (производств) расходы "/>
      <sheetName val="Административные расходы"/>
      <sheetName val="Покупная продукция (услуги)"/>
      <sheetName val="водный налог"/>
      <sheetName val="земельн. налог "/>
      <sheetName val="Мероприятия"/>
      <sheetName val="Кап. вложения"/>
      <sheetName val="Потери воды"/>
      <sheetName val="коррект. НВВ вода"/>
      <sheetName val="Индекс измен. колич. активов"/>
      <sheetName val="Сведения"/>
      <sheetName val="ФХД"/>
      <sheetName val="Фактич. показатели"/>
    </sheetNames>
    <sheetDataSet>
      <sheetData sheetId="1">
        <row r="1">
          <cell r="A1" t="str">
            <v>Общая система налогообложения</v>
          </cell>
        </row>
        <row r="2">
          <cell r="A2" t="str">
            <v>Упрощенная система налогообложения</v>
          </cell>
        </row>
        <row r="3">
          <cell r="A3" t="str">
            <v>НДС не взимается в соответствии со статьями 145 и 146 НК РФ</v>
          </cell>
        </row>
        <row r="4">
          <cell r="A4" t="str">
            <v>НДС не взимается в соответствии со статьей 149 НК РФ</v>
          </cell>
        </row>
        <row r="5">
          <cell r="A5" t="str">
            <v>НДС не взимается в связи с уплатой единого сельскохозяйственного налога</v>
          </cell>
        </row>
        <row r="14">
          <cell r="A14" t="str">
            <v>питьевая</v>
          </cell>
        </row>
        <row r="15">
          <cell r="A15" t="str">
            <v>техническая</v>
          </cell>
        </row>
        <row r="45">
          <cell r="A45" t="str">
            <v>Беседина М.В.</v>
          </cell>
        </row>
        <row r="46">
          <cell r="A46" t="str">
            <v>Гусев А.Ю.</v>
          </cell>
        </row>
        <row r="47">
          <cell r="A47" t="str">
            <v>Новикова А.А.</v>
          </cell>
        </row>
        <row r="48">
          <cell r="A48" t="str">
            <v>Хусейнова Е.И.</v>
          </cell>
        </row>
        <row r="49">
          <cell r="A49" t="str">
            <v>Кудинова О.А.</v>
          </cell>
        </row>
        <row r="50">
          <cell r="A50" t="str">
            <v>Кокорева Е.Н.</v>
          </cell>
        </row>
        <row r="51">
          <cell r="A51" t="str">
            <v>Куликова Е.А.</v>
          </cell>
        </row>
        <row r="53">
          <cell r="A53" t="str">
            <v>Волоколамский м.р.</v>
          </cell>
        </row>
        <row r="54">
          <cell r="A54" t="str">
            <v>Воскресенский м.р.</v>
          </cell>
        </row>
        <row r="55">
          <cell r="A55" t="str">
            <v>г.о. Балашиха</v>
          </cell>
        </row>
        <row r="56">
          <cell r="A56" t="str">
            <v>г.о. Бронницы</v>
          </cell>
        </row>
        <row r="57">
          <cell r="A57" t="str">
            <v>г.о. Власиха</v>
          </cell>
        </row>
        <row r="58">
          <cell r="A58" t="str">
            <v>г.о. Восход</v>
          </cell>
        </row>
        <row r="59">
          <cell r="A59" t="str">
            <v>г.о. Дзержинский</v>
          </cell>
        </row>
        <row r="60">
          <cell r="A60" t="str">
            <v>г.о. Долгопрудный</v>
          </cell>
        </row>
        <row r="61">
          <cell r="A61" t="str">
            <v>г.о. Домодедово</v>
          </cell>
        </row>
        <row r="62">
          <cell r="A62" t="str">
            <v>г.о. Дубна</v>
          </cell>
        </row>
        <row r="63">
          <cell r="A63" t="str">
            <v>г.о. Железнодорожный</v>
          </cell>
        </row>
        <row r="64">
          <cell r="A64" t="str">
            <v>г.о. Жуковский </v>
          </cell>
        </row>
        <row r="65">
          <cell r="A65" t="str">
            <v>г.о. Звездный городок</v>
          </cell>
        </row>
        <row r="66">
          <cell r="A66" t="str">
            <v>г.о. Звенигород</v>
          </cell>
        </row>
        <row r="67">
          <cell r="A67" t="str">
            <v>г.о. Ивантеевка</v>
          </cell>
        </row>
        <row r="68">
          <cell r="A68" t="str">
            <v>г.о. Климовск</v>
          </cell>
        </row>
        <row r="69">
          <cell r="A69" t="str">
            <v>г.о. Коломна</v>
          </cell>
        </row>
        <row r="70">
          <cell r="A70" t="str">
            <v>г.о. Королев</v>
          </cell>
        </row>
        <row r="71">
          <cell r="A71" t="str">
            <v>г.о. Котельники</v>
          </cell>
        </row>
        <row r="72">
          <cell r="A72" t="str">
            <v>г.о. Красноармейск</v>
          </cell>
        </row>
        <row r="73">
          <cell r="A73" t="str">
            <v>г.о. Краснознаменск</v>
          </cell>
        </row>
        <row r="74">
          <cell r="A74" t="str">
            <v>г.о. Лобня</v>
          </cell>
        </row>
        <row r="75">
          <cell r="A75" t="str">
            <v>г.о. Лосино-Петровский</v>
          </cell>
        </row>
        <row r="76">
          <cell r="A76" t="str">
            <v>г.о. Лыткарино</v>
          </cell>
        </row>
        <row r="77">
          <cell r="A77" t="str">
            <v>г.о. Молодежный</v>
          </cell>
        </row>
        <row r="78">
          <cell r="A78" t="str">
            <v>г.о. Орехово-Зуево</v>
          </cell>
        </row>
        <row r="79">
          <cell r="A79" t="str">
            <v>г.о. Подольск</v>
          </cell>
        </row>
        <row r="80">
          <cell r="A80" t="str">
            <v>г.о. Протвино</v>
          </cell>
        </row>
        <row r="81">
          <cell r="A81" t="str">
            <v>г.о. Пущино</v>
          </cell>
        </row>
        <row r="82">
          <cell r="A82" t="str">
            <v>г.о. Реутов</v>
          </cell>
        </row>
        <row r="83">
          <cell r="A83" t="str">
            <v>г.о. Рошаль</v>
          </cell>
        </row>
        <row r="84">
          <cell r="A84" t="str">
            <v>г.о. Серпухов</v>
          </cell>
        </row>
        <row r="85">
          <cell r="A85" t="str">
            <v>г.о. Фрязино</v>
          </cell>
        </row>
        <row r="86">
          <cell r="A86" t="str">
            <v>г.о. Химки</v>
          </cell>
        </row>
        <row r="87">
          <cell r="A87" t="str">
            <v>г.о. Черноголовка</v>
          </cell>
        </row>
        <row r="88">
          <cell r="A88" t="str">
            <v>г.о. Электрогорск</v>
          </cell>
        </row>
        <row r="89">
          <cell r="A89" t="str">
            <v>г.о. Электросталь</v>
          </cell>
        </row>
        <row r="90">
          <cell r="A90" t="str">
            <v>Дмитровский м.р.</v>
          </cell>
        </row>
        <row r="91">
          <cell r="A91" t="str">
            <v>Егорьевский м.р.</v>
          </cell>
        </row>
        <row r="92">
          <cell r="A92" t="str">
            <v>Зарайский м.р.</v>
          </cell>
        </row>
        <row r="93">
          <cell r="A93" t="str">
            <v>Истринский м.р.</v>
          </cell>
        </row>
        <row r="94">
          <cell r="A94" t="str">
            <v>Каширский м.р.</v>
          </cell>
        </row>
        <row r="95">
          <cell r="A95" t="str">
            <v>Клинский м.р.</v>
          </cell>
        </row>
        <row r="96">
          <cell r="A96" t="str">
            <v>Коломенский м.р.</v>
          </cell>
        </row>
        <row r="97">
          <cell r="A97" t="str">
            <v>Красногорский м.р.</v>
          </cell>
        </row>
        <row r="98">
          <cell r="A98" t="str">
            <v>Ленинский м.р.</v>
          </cell>
        </row>
        <row r="99">
          <cell r="A99" t="str">
            <v>Лотошинский м.р.</v>
          </cell>
        </row>
        <row r="100">
          <cell r="A100" t="str">
            <v>Луховицкий м.р.</v>
          </cell>
        </row>
        <row r="101">
          <cell r="A101" t="str">
            <v>Люберецкий м.р.</v>
          </cell>
        </row>
        <row r="102">
          <cell r="A102" t="str">
            <v>Межмуниципальные организации</v>
          </cell>
        </row>
        <row r="103">
          <cell r="A103" t="str">
            <v>Можайский м.р.</v>
          </cell>
        </row>
        <row r="104">
          <cell r="A104" t="str">
            <v>Мытищинский м.р.</v>
          </cell>
        </row>
        <row r="105">
          <cell r="A105" t="str">
            <v>Наро-Фоминский м.р.</v>
          </cell>
        </row>
        <row r="106">
          <cell r="A106" t="str">
            <v>Ногинский м.р.</v>
          </cell>
        </row>
        <row r="107">
          <cell r="A107" t="str">
            <v>Одинцовский м.р.</v>
          </cell>
        </row>
        <row r="108">
          <cell r="A108" t="str">
            <v>Озерский м.р.</v>
          </cell>
        </row>
        <row r="109">
          <cell r="A109" t="str">
            <v>Орехово-Зуевский м.р.</v>
          </cell>
        </row>
        <row r="110">
          <cell r="A110" t="str">
            <v>Павлово-Посадский м.р.</v>
          </cell>
        </row>
        <row r="111">
          <cell r="A111" t="str">
            <v>Подольский м.р.</v>
          </cell>
        </row>
        <row r="112">
          <cell r="A112" t="str">
            <v>Пушкинский м.р.</v>
          </cell>
        </row>
        <row r="113">
          <cell r="A113" t="str">
            <v>Раменский м.р.</v>
          </cell>
        </row>
        <row r="114">
          <cell r="A114" t="str">
            <v>Рузский м.р.</v>
          </cell>
        </row>
        <row r="115">
          <cell r="A115" t="str">
            <v>Сергиево-Посадский м.р.</v>
          </cell>
        </row>
        <row r="116">
          <cell r="A116" t="str">
            <v>Серебряно-Прудский м.р.</v>
          </cell>
        </row>
        <row r="117">
          <cell r="A117" t="str">
            <v>Серпуховский м.р.</v>
          </cell>
        </row>
        <row r="118">
          <cell r="A118" t="str">
            <v>Солнечногорский м.р.</v>
          </cell>
        </row>
        <row r="119">
          <cell r="A119" t="str">
            <v>Ступинский м.р.</v>
          </cell>
        </row>
        <row r="120">
          <cell r="A120" t="str">
            <v>Талдомский м.р.</v>
          </cell>
        </row>
        <row r="121">
          <cell r="A121" t="str">
            <v>Чеховский м.р.</v>
          </cell>
        </row>
        <row r="122">
          <cell r="A122" t="str">
            <v>Шатурский м.р. </v>
          </cell>
        </row>
        <row r="123">
          <cell r="A123" t="str">
            <v>Шаховской м.р.</v>
          </cell>
        </row>
        <row r="124">
          <cell r="A124" t="str">
            <v>Щелковский м.р.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92D050"/>
    <pageSetUpPr fitToPage="1"/>
  </sheetPr>
  <dimension ref="A1:I70"/>
  <sheetViews>
    <sheetView showGridLines="0" zoomScale="90" zoomScaleNormal="90" zoomScalePageLayoutView="0" workbookViewId="0" topLeftCell="A24">
      <selection activeCell="B44" sqref="B44"/>
    </sheetView>
  </sheetViews>
  <sheetFormatPr defaultColWidth="9.140625" defaultRowHeight="15"/>
  <cols>
    <col min="1" max="1" width="36.57421875" style="513" customWidth="1"/>
    <col min="2" max="2" width="54.8515625" style="513" customWidth="1"/>
    <col min="3" max="16384" width="9.140625" style="513" customWidth="1"/>
  </cols>
  <sheetData>
    <row r="1" spans="1:2" ht="21.75" customHeight="1">
      <c r="A1" s="1301" t="s">
        <v>660</v>
      </c>
      <c r="B1" s="1301"/>
    </row>
    <row r="2" spans="1:2" ht="15">
      <c r="A2" s="103"/>
      <c r="B2" s="684"/>
    </row>
    <row r="3" spans="1:2" ht="21" customHeight="1">
      <c r="A3" s="104" t="s">
        <v>661</v>
      </c>
      <c r="B3" s="776" t="s">
        <v>662</v>
      </c>
    </row>
    <row r="4" spans="1:2" ht="4.5" customHeight="1">
      <c r="A4" s="105"/>
      <c r="B4" s="106"/>
    </row>
    <row r="5" spans="1:2" ht="21" customHeight="1">
      <c r="A5" s="104" t="s">
        <v>663</v>
      </c>
      <c r="B5" s="1110" t="s">
        <v>1207</v>
      </c>
    </row>
    <row r="6" spans="1:2" ht="4.5" customHeight="1">
      <c r="A6" s="107"/>
      <c r="B6" s="108"/>
    </row>
    <row r="7" spans="1:9" s="950" customFormat="1" ht="21" customHeight="1">
      <c r="A7" s="104" t="s">
        <v>866</v>
      </c>
      <c r="B7" s="947" t="s">
        <v>791</v>
      </c>
      <c r="C7" s="948"/>
      <c r="D7" s="949"/>
      <c r="G7" s="951"/>
      <c r="H7" s="952"/>
      <c r="I7" s="953"/>
    </row>
    <row r="8" spans="1:5" s="950" customFormat="1" ht="4.5" customHeight="1">
      <c r="A8" s="107"/>
      <c r="B8" s="108"/>
      <c r="C8" s="951"/>
      <c r="D8" s="952"/>
      <c r="E8" s="953"/>
    </row>
    <row r="9" spans="1:2" ht="27" customHeight="1">
      <c r="A9" s="104" t="s">
        <v>664</v>
      </c>
      <c r="B9" s="1111" t="s">
        <v>1014</v>
      </c>
    </row>
    <row r="10" spans="1:2" ht="24" customHeight="1">
      <c r="A10" s="104" t="s">
        <v>665</v>
      </c>
      <c r="B10" s="1111" t="s">
        <v>1039</v>
      </c>
    </row>
    <row r="11" spans="1:2" ht="24" customHeight="1">
      <c r="A11" s="104" t="s">
        <v>948</v>
      </c>
      <c r="B11" s="1111" t="s">
        <v>928</v>
      </c>
    </row>
    <row r="12" spans="1:2" ht="24.75" customHeight="1">
      <c r="A12" s="104" t="s">
        <v>704</v>
      </c>
      <c r="B12" s="1111"/>
    </row>
    <row r="13" spans="1:2" ht="24.75" customHeight="1">
      <c r="A13" s="104" t="s">
        <v>666</v>
      </c>
      <c r="B13" s="1110">
        <v>5030070371</v>
      </c>
    </row>
    <row r="14" spans="1:2" ht="24.75" customHeight="1">
      <c r="A14" s="104" t="s">
        <v>667</v>
      </c>
      <c r="B14" s="1110">
        <v>503001001</v>
      </c>
    </row>
    <row r="15" spans="1:2" ht="8.25" customHeight="1">
      <c r="A15" s="109"/>
      <c r="B15" s="108"/>
    </row>
    <row r="16" spans="1:2" ht="30" customHeight="1">
      <c r="A16" s="104" t="s">
        <v>668</v>
      </c>
      <c r="B16" s="766" t="s">
        <v>1015</v>
      </c>
    </row>
    <row r="17" spans="1:2" ht="5.25" customHeight="1">
      <c r="A17" s="111"/>
      <c r="B17" s="110"/>
    </row>
    <row r="18" spans="1:2" ht="27.75" customHeight="1">
      <c r="A18" s="104" t="s">
        <v>669</v>
      </c>
      <c r="B18" s="320" t="str">
        <f>IF(ISERROR(Справочник!$D$1),"Укажите систему налогооблажения",Справочник!$D$1)</f>
        <v>нет</v>
      </c>
    </row>
    <row r="19" spans="1:2" ht="26.25" customHeight="1">
      <c r="A19" s="104" t="s">
        <v>670</v>
      </c>
      <c r="B19" s="1112" t="s">
        <v>697</v>
      </c>
    </row>
    <row r="20" spans="1:2" ht="15">
      <c r="A20" s="109"/>
      <c r="B20" s="108"/>
    </row>
    <row r="21" spans="1:2" ht="24.75" customHeight="1">
      <c r="A21" s="104" t="s">
        <v>671</v>
      </c>
      <c r="B21" s="767" t="s">
        <v>757</v>
      </c>
    </row>
    <row r="22" spans="1:2" ht="24.75" customHeight="1">
      <c r="A22" s="104" t="s">
        <v>672</v>
      </c>
      <c r="B22" s="777" t="str">
        <f>Справочник!B18</f>
        <v>полный цикл</v>
      </c>
    </row>
    <row r="23" spans="1:2" ht="24.75" customHeight="1">
      <c r="A23" s="104" t="s">
        <v>673</v>
      </c>
      <c r="B23" s="767" t="s">
        <v>702</v>
      </c>
    </row>
    <row r="24" spans="1:2" ht="24.75" customHeight="1">
      <c r="A24" s="104" t="s">
        <v>132</v>
      </c>
      <c r="B24" s="767" t="s">
        <v>702</v>
      </c>
    </row>
    <row r="25" spans="1:2" ht="24.75" customHeight="1">
      <c r="A25" s="104" t="s">
        <v>674</v>
      </c>
      <c r="B25" s="767" t="s">
        <v>702</v>
      </c>
    </row>
    <row r="26" spans="1:2" ht="28.5" customHeight="1">
      <c r="A26" s="112" t="s">
        <v>675</v>
      </c>
      <c r="B26" s="772" t="str">
        <f>Справочник!B22</f>
        <v>тариф на питьевую воду</v>
      </c>
    </row>
    <row r="27" spans="1:2" ht="15">
      <c r="A27" s="109"/>
      <c r="B27" s="108"/>
    </row>
    <row r="28" spans="1:2" ht="30" customHeight="1">
      <c r="A28" s="112" t="s">
        <v>676</v>
      </c>
      <c r="B28" s="318" t="s">
        <v>702</v>
      </c>
    </row>
    <row r="29" spans="1:2" ht="7.5" customHeight="1">
      <c r="A29" s="109"/>
      <c r="B29" s="108"/>
    </row>
    <row r="30" spans="1:2" ht="30.75" customHeight="1">
      <c r="A30" s="112" t="s">
        <v>677</v>
      </c>
      <c r="B30" s="318" t="s">
        <v>703</v>
      </c>
    </row>
    <row r="31" spans="1:2" ht="15">
      <c r="A31" s="109"/>
      <c r="B31" s="108"/>
    </row>
    <row r="32" spans="1:2" ht="29.25" customHeight="1" hidden="1">
      <c r="A32" s="109"/>
      <c r="B32" s="256" t="s">
        <v>681</v>
      </c>
    </row>
    <row r="33" spans="1:2" ht="29.25" customHeight="1" hidden="1">
      <c r="A33" s="104" t="s">
        <v>678</v>
      </c>
      <c r="B33" s="1005"/>
    </row>
    <row r="34" spans="1:2" ht="29.25" customHeight="1" hidden="1">
      <c r="A34" s="104" t="s">
        <v>679</v>
      </c>
      <c r="B34" s="1005"/>
    </row>
    <row r="35" spans="1:2" ht="29.25" customHeight="1" hidden="1">
      <c r="A35" s="112" t="s">
        <v>680</v>
      </c>
      <c r="B35" s="768">
        <v>26.25</v>
      </c>
    </row>
    <row r="36" spans="1:2" ht="15" hidden="1">
      <c r="A36" s="112"/>
      <c r="B36" s="113"/>
    </row>
    <row r="37" spans="1:2" ht="33" customHeight="1" hidden="1">
      <c r="A37" s="109"/>
      <c r="B37" s="256" t="s">
        <v>718</v>
      </c>
    </row>
    <row r="38" spans="1:2" ht="27.75" customHeight="1" hidden="1">
      <c r="A38" s="104" t="s">
        <v>678</v>
      </c>
      <c r="B38" s="1078" t="s">
        <v>1016</v>
      </c>
    </row>
    <row r="39" spans="1:2" ht="27.75" customHeight="1" hidden="1">
      <c r="A39" s="104" t="s">
        <v>679</v>
      </c>
      <c r="B39" s="1078" t="s">
        <v>1017</v>
      </c>
    </row>
    <row r="40" spans="1:2" ht="27.75" customHeight="1" hidden="1">
      <c r="A40" s="112" t="s">
        <v>682</v>
      </c>
      <c r="B40" s="768">
        <v>26.25</v>
      </c>
    </row>
    <row r="41" spans="1:2" ht="27.75" customHeight="1" hidden="1">
      <c r="A41" s="112" t="s">
        <v>680</v>
      </c>
      <c r="B41" s="768">
        <v>28.77</v>
      </c>
    </row>
    <row r="42" spans="1:2" ht="15">
      <c r="A42" s="111"/>
      <c r="B42" s="108"/>
    </row>
    <row r="43" spans="1:2" ht="15.75" customHeight="1">
      <c r="A43" s="104"/>
      <c r="B43" s="114" t="s">
        <v>683</v>
      </c>
    </row>
    <row r="44" spans="1:2" ht="26.25" customHeight="1">
      <c r="A44" s="104" t="s">
        <v>684</v>
      </c>
      <c r="B44" s="319"/>
    </row>
    <row r="45" spans="1:2" ht="15">
      <c r="A45" s="115"/>
      <c r="B45" s="103"/>
    </row>
    <row r="46" spans="1:2" ht="15">
      <c r="A46" s="115"/>
      <c r="B46" s="951" t="s">
        <v>871</v>
      </c>
    </row>
    <row r="47" spans="1:2" ht="21.75" customHeight="1">
      <c r="A47" s="104" t="s">
        <v>872</v>
      </c>
      <c r="B47" s="1300" t="s">
        <v>1373</v>
      </c>
    </row>
    <row r="48" spans="1:2" ht="21.75" customHeight="1">
      <c r="A48" s="104" t="s">
        <v>689</v>
      </c>
      <c r="B48" s="1079" t="s">
        <v>1018</v>
      </c>
    </row>
    <row r="49" spans="1:2" ht="21.75" customHeight="1">
      <c r="A49" s="104" t="s">
        <v>687</v>
      </c>
      <c r="B49" s="1300" t="s">
        <v>1374</v>
      </c>
    </row>
    <row r="50" spans="1:2" ht="21.75" customHeight="1">
      <c r="A50" s="104" t="s">
        <v>690</v>
      </c>
      <c r="B50" s="1299" t="s">
        <v>1361</v>
      </c>
    </row>
    <row r="51" spans="1:2" ht="15">
      <c r="A51" s="115"/>
      <c r="B51" s="103"/>
    </row>
    <row r="52" spans="1:2" ht="15">
      <c r="A52" s="104"/>
      <c r="B52" s="114" t="s">
        <v>685</v>
      </c>
    </row>
    <row r="53" spans="1:2" ht="27" customHeight="1">
      <c r="A53" s="104" t="s">
        <v>686</v>
      </c>
      <c r="B53" s="1299" t="s">
        <v>1362</v>
      </c>
    </row>
    <row r="54" spans="1:2" ht="24" customHeight="1">
      <c r="A54" s="104" t="s">
        <v>687</v>
      </c>
      <c r="B54" s="1299" t="s">
        <v>1365</v>
      </c>
    </row>
    <row r="55" spans="1:2" ht="15">
      <c r="A55" s="115"/>
      <c r="B55" s="103"/>
    </row>
    <row r="56" spans="1:2" ht="23.25" customHeight="1">
      <c r="A56" s="104"/>
      <c r="B56" s="114" t="s">
        <v>688</v>
      </c>
    </row>
    <row r="57" spans="1:2" ht="25.5" customHeight="1">
      <c r="A57" s="104" t="s">
        <v>872</v>
      </c>
      <c r="B57" s="1299" t="s">
        <v>1363</v>
      </c>
    </row>
    <row r="58" spans="1:2" ht="25.5" customHeight="1">
      <c r="A58" s="104" t="s">
        <v>689</v>
      </c>
      <c r="B58" s="1079"/>
    </row>
    <row r="59" spans="1:2" ht="25.5" customHeight="1">
      <c r="A59" s="104" t="s">
        <v>687</v>
      </c>
      <c r="B59" s="1299" t="s">
        <v>1364</v>
      </c>
    </row>
    <row r="60" spans="1:2" ht="25.5" customHeight="1">
      <c r="A60" s="104" t="s">
        <v>690</v>
      </c>
      <c r="B60" s="1299" t="s">
        <v>1366</v>
      </c>
    </row>
    <row r="62" spans="1:2" ht="24.75" customHeight="1">
      <c r="A62" s="1113" t="s">
        <v>1193</v>
      </c>
      <c r="B62" s="767" t="s">
        <v>703</v>
      </c>
    </row>
    <row r="64" spans="1:2" ht="24.75" customHeight="1">
      <c r="A64" s="1113" t="s">
        <v>1194</v>
      </c>
      <c r="B64" s="767" t="s">
        <v>702</v>
      </c>
    </row>
    <row r="66" spans="1:2" ht="30" customHeight="1">
      <c r="A66" s="1113" t="s">
        <v>1195</v>
      </c>
      <c r="B66" s="767" t="s">
        <v>1367</v>
      </c>
    </row>
    <row r="68" spans="1:2" ht="30" customHeight="1">
      <c r="A68" s="1113" t="s">
        <v>1196</v>
      </c>
      <c r="B68" s="767"/>
    </row>
    <row r="70" spans="1:2" ht="30" customHeight="1">
      <c r="A70" s="104" t="s">
        <v>1197</v>
      </c>
      <c r="B70" s="767" t="s">
        <v>702</v>
      </c>
    </row>
  </sheetData>
  <sheetProtection password="C956" sheet="1" objects="1" scenarios="1"/>
  <mergeCells count="1">
    <mergeCell ref="A1:B1"/>
  </mergeCells>
  <conditionalFormatting sqref="B18">
    <cfRule type="cellIs" priority="2" dxfId="18" operator="equal" stopIfTrue="1">
      <formula>"укажите систему налогооблажения"</formula>
    </cfRule>
    <cfRule type="cellIs" priority="3" dxfId="18" operator="equal" stopIfTrue="1">
      <formula>"Укажите систему налогоблажения"</formula>
    </cfRule>
  </conditionalFormatting>
  <conditionalFormatting sqref="A7:IV7">
    <cfRule type="cellIs" priority="1" dxfId="15" operator="equal" stopIfTrue="1">
      <formula>"версия регулятора"</formula>
    </cfRule>
  </conditionalFormatting>
  <dataValidations count="12">
    <dataValidation type="decimal" allowBlank="1" showErrorMessage="1" errorTitle="Ошибка" error="Допускается ввод только неотрицательных чисел!" sqref="B40:B41 B35:B3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53:B54 B57:B60 B44 B38:B39 B33:B34">
      <formula1>900</formula1>
    </dataValidation>
    <dataValidation type="textLength" operator="equal" allowBlank="1" showInputMessage="1" showErrorMessage="1" sqref="B17 B42">
      <formula1>9</formula1>
    </dataValidation>
    <dataValidation type="textLength" operator="equal" allowBlank="1" showInputMessage="1" showErrorMessage="1" prompt="9 символов" sqref="B14">
      <formula1>9</formula1>
    </dataValidation>
    <dataValidation type="textLength" allowBlank="1" showInputMessage="1" showErrorMessage="1" prompt="10-12 символов" sqref="B13">
      <formula1>10</formula1>
      <formula2>12</formula2>
    </dataValidation>
    <dataValidation type="list" allowBlank="1" showInputMessage="1" showErrorMessage="1" sqref="B21">
      <formula1>вода</formula1>
    </dataValidation>
    <dataValidation type="list" operator="lessThanOrEqual" allowBlank="1" showInputMessage="1" showErrorMessage="1" errorTitle="Ошибка" error="Допускается ввод не более 900 символов!" sqref="B19">
      <formula1>налоги</formula1>
    </dataValidation>
    <dataValidation type="list" allowBlank="1" showInputMessage="1" showErrorMessage="1" sqref="B30 B23:B25 B28 B62 B64 B70">
      <formula1>"да, нет"</formula1>
    </dataValidation>
    <dataValidation type="list" allowBlank="1" showInputMessage="1" showErrorMessage="1" sqref="B7">
      <formula1>"версия организации, версия регулятора"</formula1>
    </dataValidation>
    <dataValidation type="list" showInputMessage="1" showErrorMessage="1" sqref="B5">
      <formula1>"2016 корректировка в долгосрочном периоде, 2016 - 2018"</formula1>
    </dataValidation>
    <dataValidation type="list" allowBlank="1" showInputMessage="1" showErrorMessage="1" sqref="B11">
      <formula1>территория</formula1>
    </dataValidation>
    <dataValidation allowBlank="1" showInputMessage="1" showErrorMessage="1" prompt="Выберите значение из списка" errorTitle="Ошибка" error="Выберите значение из списка" sqref="B66 B68"/>
  </dataValidations>
  <printOptions/>
  <pageMargins left="0.25" right="0.25" top="0.75" bottom="0.75" header="0.3" footer="0.3"/>
  <pageSetup fitToHeight="1" fitToWidth="1" horizontalDpi="600" verticalDpi="600" orientation="portrait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8"/>
  <dimension ref="A2:C2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.421875" style="1038" customWidth="1"/>
    <col min="2" max="2" width="69.00390625" style="1038" customWidth="1"/>
    <col min="3" max="3" width="32.421875" style="1038" customWidth="1"/>
    <col min="4" max="16384" width="9.140625" style="1038" customWidth="1"/>
  </cols>
  <sheetData>
    <row r="2" spans="1:3" ht="58.5" customHeight="1">
      <c r="A2" s="1512" t="s">
        <v>1317</v>
      </c>
      <c r="B2" s="1512"/>
      <c r="C2" s="1512"/>
    </row>
    <row r="3" spans="1:3" ht="18.75" customHeight="1">
      <c r="A3" s="1037"/>
      <c r="B3" s="1037"/>
      <c r="C3" s="1037"/>
    </row>
    <row r="4" spans="1:3" ht="47.25" customHeight="1">
      <c r="A4" s="1510" t="s">
        <v>996</v>
      </c>
      <c r="B4" s="1511" t="s">
        <v>239</v>
      </c>
      <c r="C4" s="1047" t="s">
        <v>997</v>
      </c>
    </row>
    <row r="5" spans="1:3" ht="20.25" customHeight="1">
      <c r="A5" s="1510"/>
      <c r="B5" s="1511"/>
      <c r="C5" s="1047" t="s">
        <v>563</v>
      </c>
    </row>
    <row r="6" spans="1:3" ht="33.75" customHeight="1" hidden="1">
      <c r="A6" s="1510"/>
      <c r="B6" s="1511"/>
      <c r="C6" s="1039" t="s">
        <v>998</v>
      </c>
    </row>
    <row r="7" spans="1:3" ht="21" customHeight="1">
      <c r="A7" s="1040" t="s">
        <v>999</v>
      </c>
      <c r="B7" s="1041" t="s">
        <v>1000</v>
      </c>
      <c r="C7" s="1049">
        <v>104.5</v>
      </c>
    </row>
    <row r="8" spans="1:3" ht="21" customHeight="1">
      <c r="A8" s="1040" t="s">
        <v>1001</v>
      </c>
      <c r="B8" s="1041" t="s">
        <v>1002</v>
      </c>
      <c r="C8" s="1049">
        <v>114.5</v>
      </c>
    </row>
    <row r="9" spans="1:3" ht="21" customHeight="1">
      <c r="A9" s="1040" t="s">
        <v>1003</v>
      </c>
      <c r="B9" s="1041" t="s">
        <v>1004</v>
      </c>
      <c r="C9" s="1049">
        <v>104.5</v>
      </c>
    </row>
    <row r="10" spans="1:3" ht="18.75">
      <c r="A10" s="1040" t="s">
        <v>1005</v>
      </c>
      <c r="B10" s="1041" t="s">
        <v>1006</v>
      </c>
      <c r="C10" s="1049">
        <v>104.5</v>
      </c>
    </row>
    <row r="11" spans="1:3" ht="18.75">
      <c r="A11" s="1040" t="s">
        <v>1007</v>
      </c>
      <c r="B11" s="1041" t="s">
        <v>1008</v>
      </c>
      <c r="C11" s="1049">
        <v>104.5</v>
      </c>
    </row>
    <row r="12" spans="1:3" ht="18.75">
      <c r="A12" s="1040" t="s">
        <v>1009</v>
      </c>
      <c r="B12" s="1041" t="s">
        <v>1010</v>
      </c>
      <c r="C12" s="1050">
        <v>106</v>
      </c>
    </row>
    <row r="13" spans="1:3" ht="39" customHeight="1">
      <c r="A13" s="1040" t="s">
        <v>1011</v>
      </c>
      <c r="B13" s="1041" t="s">
        <v>1012</v>
      </c>
      <c r="C13" s="1051">
        <v>106</v>
      </c>
    </row>
    <row r="20" ht="12.75">
      <c r="B20" s="1038" t="s">
        <v>1192</v>
      </c>
    </row>
  </sheetData>
  <sheetProtection formatColumns="0"/>
  <mergeCells count="3">
    <mergeCell ref="A4:A6"/>
    <mergeCell ref="B4:B6"/>
    <mergeCell ref="A2:C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">
    <tabColor theme="8"/>
  </sheetPr>
  <dimension ref="A1:R228"/>
  <sheetViews>
    <sheetView showGridLines="0" tabSelected="1" zoomScaleSheetLayoutView="85" zoomScalePageLayoutView="0" workbookViewId="0" topLeftCell="B178">
      <selection activeCell="I234" sqref="I234"/>
    </sheetView>
  </sheetViews>
  <sheetFormatPr defaultColWidth="9.140625" defaultRowHeight="15"/>
  <cols>
    <col min="1" max="1" width="2.8515625" style="343" customWidth="1"/>
    <col min="2" max="2" width="9.421875" style="343" bestFit="1" customWidth="1"/>
    <col min="3" max="3" width="38.421875" style="343" customWidth="1"/>
    <col min="4" max="4" width="11.140625" style="343" customWidth="1"/>
    <col min="5" max="6" width="14.7109375" style="343" hidden="1" customWidth="1"/>
    <col min="7" max="7" width="14.7109375" style="343" customWidth="1"/>
    <col min="8" max="8" width="14.7109375" style="509" customWidth="1"/>
    <col min="9" max="10" width="14.7109375" style="343" customWidth="1"/>
    <col min="11" max="12" width="13.421875" style="343" hidden="1" customWidth="1"/>
    <col min="13" max="13" width="14.7109375" style="343" customWidth="1"/>
    <col min="14" max="14" width="8.7109375" style="510" customWidth="1"/>
    <col min="15" max="15" width="14.7109375" style="343" customWidth="1"/>
    <col min="16" max="16" width="14.421875" style="343" hidden="1" customWidth="1"/>
    <col min="17" max="17" width="11.421875" style="510" hidden="1" customWidth="1"/>
    <col min="18" max="18" width="15.57421875" style="343" hidden="1" customWidth="1"/>
    <col min="19" max="16384" width="9.140625" style="343" customWidth="1"/>
  </cols>
  <sheetData>
    <row r="1" spans="1:18" ht="15">
      <c r="A1" s="337"/>
      <c r="B1" s="338"/>
      <c r="C1" s="339"/>
      <c r="D1" s="340"/>
      <c r="E1" s="340"/>
      <c r="F1" s="340"/>
      <c r="G1" s="339"/>
      <c r="H1" s="341"/>
      <c r="I1" s="342"/>
      <c r="J1" s="342"/>
      <c r="K1" s="342"/>
      <c r="L1" s="342"/>
      <c r="M1" s="342"/>
      <c r="N1" s="342"/>
      <c r="O1" s="342"/>
      <c r="P1" s="342"/>
      <c r="Q1" s="342"/>
      <c r="R1" s="342"/>
    </row>
    <row r="2" spans="1:18" ht="15">
      <c r="A2" s="337"/>
      <c r="B2" s="338"/>
      <c r="C2" s="339"/>
      <c r="D2" s="340"/>
      <c r="E2" s="340"/>
      <c r="F2" s="340"/>
      <c r="G2" s="339"/>
      <c r="H2" s="341"/>
      <c r="I2" s="339"/>
      <c r="J2" s="339"/>
      <c r="K2" s="339"/>
      <c r="L2" s="339"/>
      <c r="M2" s="339" t="s">
        <v>0</v>
      </c>
      <c r="N2" s="339"/>
      <c r="O2" s="339"/>
      <c r="P2" s="339"/>
      <c r="Q2" s="339"/>
      <c r="R2" s="339"/>
    </row>
    <row r="3" spans="1:18" ht="15">
      <c r="A3" s="337"/>
      <c r="B3" s="338"/>
      <c r="C3" s="339"/>
      <c r="D3" s="340"/>
      <c r="E3" s="340"/>
      <c r="F3" s="340"/>
      <c r="G3" s="339"/>
      <c r="H3" s="341"/>
      <c r="I3" s="339"/>
      <c r="J3" s="339"/>
      <c r="K3" s="339"/>
      <c r="L3" s="339"/>
      <c r="M3" s="344" t="s">
        <v>867</v>
      </c>
      <c r="N3" s="339"/>
      <c r="O3" s="344"/>
      <c r="P3" s="344"/>
      <c r="Q3" s="339"/>
      <c r="R3" s="344"/>
    </row>
    <row r="4" spans="1:18" ht="15">
      <c r="A4" s="337"/>
      <c r="B4" s="338"/>
      <c r="C4" s="339"/>
      <c r="D4" s="340"/>
      <c r="E4" s="340"/>
      <c r="F4" s="340"/>
      <c r="G4" s="339"/>
      <c r="H4" s="345"/>
      <c r="I4" s="339"/>
      <c r="J4" s="339"/>
      <c r="K4" s="339"/>
      <c r="L4" s="339"/>
      <c r="M4" s="1562" t="s">
        <v>1375</v>
      </c>
      <c r="N4" s="1562"/>
      <c r="O4" s="339"/>
      <c r="P4" s="339"/>
      <c r="Q4" s="339"/>
      <c r="R4" s="339"/>
    </row>
    <row r="5" spans="1:18" ht="15">
      <c r="A5" s="337"/>
      <c r="B5" s="338"/>
      <c r="C5" s="339"/>
      <c r="D5" s="340"/>
      <c r="E5" s="340"/>
      <c r="F5" s="340"/>
      <c r="G5" s="346"/>
      <c r="H5" s="347"/>
      <c r="I5" s="339"/>
      <c r="J5" s="339"/>
      <c r="K5" s="339"/>
      <c r="L5" s="339"/>
      <c r="M5" s="348" t="s">
        <v>1</v>
      </c>
      <c r="N5" s="339"/>
      <c r="O5" s="348"/>
      <c r="P5" s="348"/>
      <c r="Q5" s="339"/>
      <c r="R5" s="348"/>
    </row>
    <row r="6" spans="1:18" ht="15">
      <c r="A6" s="337"/>
      <c r="B6" s="338"/>
      <c r="C6" s="339"/>
      <c r="D6" s="340"/>
      <c r="E6" s="340"/>
      <c r="F6" s="340"/>
      <c r="G6" s="339"/>
      <c r="H6" s="345"/>
      <c r="I6" s="339"/>
      <c r="J6" s="339"/>
      <c r="K6" s="339"/>
      <c r="L6" s="339"/>
      <c r="M6" s="344" t="s">
        <v>2</v>
      </c>
      <c r="N6" s="339"/>
      <c r="O6" s="344"/>
      <c r="P6" s="344"/>
      <c r="Q6" s="339"/>
      <c r="R6" s="344"/>
    </row>
    <row r="7" spans="1:18" ht="9" customHeight="1">
      <c r="A7" s="337"/>
      <c r="B7" s="349"/>
      <c r="C7" s="344"/>
      <c r="D7" s="350"/>
      <c r="E7" s="350"/>
      <c r="F7" s="350"/>
      <c r="G7" s="339"/>
      <c r="H7" s="345"/>
      <c r="I7" s="339"/>
      <c r="J7" s="340"/>
      <c r="K7" s="340"/>
      <c r="L7" s="340"/>
      <c r="M7" s="340"/>
      <c r="N7" s="344"/>
      <c r="O7" s="340"/>
      <c r="P7" s="340"/>
      <c r="Q7" s="344"/>
      <c r="R7" s="340"/>
    </row>
    <row r="8" spans="1:18" ht="15.75">
      <c r="A8" s="337"/>
      <c r="B8" s="697" t="str">
        <f>IF(Справочник!B8=1,CONCATENATE("Анализ экономической обоснованности расходов по статьям расходов, величины прибыли и оценка предложений об установлении тарифов ",Справочник!C22),CONCATENATE("Расчет тарифов ",Справочник!C22," методом индексации"))</f>
        <v>Расчет тарифов на питьевую воду методом индексации</v>
      </c>
      <c r="C8" s="351"/>
      <c r="D8" s="352"/>
      <c r="E8" s="1134"/>
      <c r="F8" s="1134"/>
      <c r="G8" s="353"/>
      <c r="H8" s="354"/>
      <c r="I8" s="353"/>
      <c r="J8" s="353"/>
      <c r="K8" s="353"/>
      <c r="L8" s="353"/>
      <c r="M8" s="338"/>
      <c r="N8" s="338"/>
      <c r="O8" s="127"/>
      <c r="P8" s="338"/>
      <c r="Q8" s="338"/>
      <c r="R8" s="127"/>
    </row>
    <row r="9" spans="1:18" ht="15.75">
      <c r="A9" s="337"/>
      <c r="B9" s="355" t="str">
        <f>Титульный!$B$10</f>
        <v>ООО "Дирекция Голицыно-3"</v>
      </c>
      <c r="C9" s="356"/>
      <c r="D9" s="356"/>
      <c r="E9" s="356"/>
      <c r="F9" s="356"/>
      <c r="G9" s="357"/>
      <c r="H9" s="358"/>
      <c r="I9" s="357"/>
      <c r="J9" s="357"/>
      <c r="K9" s="357"/>
      <c r="L9" s="357"/>
      <c r="M9" s="338"/>
      <c r="N9" s="338"/>
      <c r="O9" s="127"/>
      <c r="P9" s="338"/>
      <c r="Q9" s="338"/>
      <c r="R9" s="127"/>
    </row>
    <row r="10" spans="1:18" ht="16.5" customHeight="1">
      <c r="A10" s="337"/>
      <c r="B10" s="696" t="str">
        <f>IF(Титульный!B11=0,Титульный!B12,IF(Титульный!$B$12=0,Титульный!$B$11,CONCATENATE(Титульный!$B$11,", ",Титульный!$B$12)))</f>
        <v>Наро-Фоминский м.р.</v>
      </c>
      <c r="C10" s="356"/>
      <c r="D10" s="356"/>
      <c r="E10" s="356"/>
      <c r="F10" s="356"/>
      <c r="G10" s="357"/>
      <c r="H10" s="358"/>
      <c r="I10" s="357"/>
      <c r="J10" s="357"/>
      <c r="K10" s="357"/>
      <c r="L10" s="357"/>
      <c r="M10" s="338"/>
      <c r="N10" s="338"/>
      <c r="O10" s="127"/>
      <c r="P10" s="338"/>
      <c r="Q10" s="338"/>
      <c r="R10" s="127"/>
    </row>
    <row r="11" spans="1:18" ht="16.5" thickBot="1">
      <c r="A11" s="337"/>
      <c r="B11" s="779" t="str">
        <f>CONCATENATE("Система налогооблажения: ",Титульный!B19)</f>
        <v>Система налогооблажения: Упрощенная система налогообложения</v>
      </c>
      <c r="C11" s="359"/>
      <c r="D11" s="360"/>
      <c r="E11" s="1135"/>
      <c r="F11" s="1135"/>
      <c r="G11" s="361"/>
      <c r="H11" s="362"/>
      <c r="I11" s="361"/>
      <c r="J11" s="361"/>
      <c r="K11" s="361"/>
      <c r="L11" s="361"/>
      <c r="M11" s="361"/>
      <c r="N11" s="361"/>
      <c r="O11" s="361"/>
      <c r="P11" s="361"/>
      <c r="Q11" s="361"/>
      <c r="R11" s="361"/>
    </row>
    <row r="12" spans="1:18" ht="6.75" customHeight="1" hidden="1" thickBot="1">
      <c r="A12" s="337"/>
      <c r="B12" s="349"/>
      <c r="C12" s="363"/>
      <c r="D12" s="363"/>
      <c r="E12" s="363"/>
      <c r="F12" s="363"/>
      <c r="G12" s="363"/>
      <c r="H12" s="364"/>
      <c r="I12" s="363"/>
      <c r="J12" s="365"/>
      <c r="K12" s="365"/>
      <c r="L12" s="365"/>
      <c r="M12" s="361"/>
      <c r="N12" s="361"/>
      <c r="O12" s="361"/>
      <c r="P12" s="361"/>
      <c r="Q12" s="361"/>
      <c r="R12" s="361"/>
    </row>
    <row r="13" spans="1:18" ht="41.25" customHeight="1">
      <c r="A13" s="337"/>
      <c r="B13" s="1563" t="s">
        <v>3</v>
      </c>
      <c r="C13" s="1550" t="s">
        <v>4</v>
      </c>
      <c r="D13" s="1550" t="s">
        <v>5</v>
      </c>
      <c r="E13" s="1553" t="s">
        <v>720</v>
      </c>
      <c r="F13" s="1554"/>
      <c r="G13" s="1553" t="s">
        <v>1198</v>
      </c>
      <c r="H13" s="1554"/>
      <c r="I13" s="1560" t="s">
        <v>1200</v>
      </c>
      <c r="J13" s="1561"/>
      <c r="K13" s="1560" t="s">
        <v>1202</v>
      </c>
      <c r="L13" s="1561"/>
      <c r="M13" s="1557" t="s">
        <v>1205</v>
      </c>
      <c r="N13" s="1558"/>
      <c r="O13" s="1559"/>
      <c r="P13" s="1535" t="s">
        <v>1206</v>
      </c>
      <c r="Q13" s="1536"/>
      <c r="R13" s="1537"/>
    </row>
    <row r="14" spans="1:18" ht="36.75" customHeight="1">
      <c r="A14" s="337"/>
      <c r="B14" s="1564"/>
      <c r="C14" s="1551"/>
      <c r="D14" s="1551"/>
      <c r="E14" s="1513" t="s">
        <v>306</v>
      </c>
      <c r="F14" s="193" t="s">
        <v>6</v>
      </c>
      <c r="G14" s="1513" t="s">
        <v>1199</v>
      </c>
      <c r="H14" s="193" t="s">
        <v>6</v>
      </c>
      <c r="I14" s="1513" t="s">
        <v>1201</v>
      </c>
      <c r="J14" s="1517" t="s">
        <v>1191</v>
      </c>
      <c r="K14" s="1513" t="s">
        <v>1203</v>
      </c>
      <c r="L14" s="1517" t="s">
        <v>1204</v>
      </c>
      <c r="M14" s="1513" t="s">
        <v>11</v>
      </c>
      <c r="N14" s="1515" t="s">
        <v>8</v>
      </c>
      <c r="O14" s="1517" t="s">
        <v>12</v>
      </c>
      <c r="P14" s="1513" t="s">
        <v>11</v>
      </c>
      <c r="Q14" s="1515" t="s">
        <v>8</v>
      </c>
      <c r="R14" s="1517" t="s">
        <v>12</v>
      </c>
    </row>
    <row r="15" spans="1:18" ht="15.75" thickBot="1">
      <c r="A15" s="337"/>
      <c r="B15" s="1565"/>
      <c r="C15" s="1552"/>
      <c r="D15" s="1552"/>
      <c r="E15" s="1514"/>
      <c r="F15" s="1077">
        <v>12</v>
      </c>
      <c r="G15" s="1514"/>
      <c r="H15" s="1077">
        <v>12</v>
      </c>
      <c r="I15" s="1514"/>
      <c r="J15" s="1518"/>
      <c r="K15" s="1514"/>
      <c r="L15" s="1518"/>
      <c r="M15" s="1514"/>
      <c r="N15" s="1516"/>
      <c r="O15" s="1518"/>
      <c r="P15" s="1514"/>
      <c r="Q15" s="1516"/>
      <c r="R15" s="1518"/>
    </row>
    <row r="16" spans="1:18" ht="15.75" thickBot="1">
      <c r="A16" s="337"/>
      <c r="B16" s="366">
        <v>1</v>
      </c>
      <c r="C16" s="367">
        <v>2</v>
      </c>
      <c r="D16" s="366">
        <v>3</v>
      </c>
      <c r="E16" s="1136"/>
      <c r="F16" s="1136"/>
      <c r="G16" s="368">
        <v>4</v>
      </c>
      <c r="H16" s="369">
        <v>5</v>
      </c>
      <c r="I16" s="221">
        <v>6</v>
      </c>
      <c r="J16" s="224">
        <v>7</v>
      </c>
      <c r="K16" s="1114"/>
      <c r="L16" s="1114"/>
      <c r="M16" s="221">
        <v>9</v>
      </c>
      <c r="N16" s="223">
        <v>10</v>
      </c>
      <c r="O16" s="222">
        <v>11</v>
      </c>
      <c r="P16" s="221">
        <v>18</v>
      </c>
      <c r="Q16" s="223">
        <v>19</v>
      </c>
      <c r="R16" s="222">
        <v>20</v>
      </c>
    </row>
    <row r="17" spans="1:18" ht="20.25" customHeight="1">
      <c r="A17" s="337"/>
      <c r="B17" s="370">
        <v>1</v>
      </c>
      <c r="C17" s="371" t="s">
        <v>13</v>
      </c>
      <c r="D17" s="372"/>
      <c r="E17" s="372"/>
      <c r="F17" s="372"/>
      <c r="G17" s="196"/>
      <c r="H17" s="214"/>
      <c r="I17" s="196"/>
      <c r="J17" s="995"/>
      <c r="K17" s="1115"/>
      <c r="L17" s="1115"/>
      <c r="M17" s="196"/>
      <c r="N17" s="213"/>
      <c r="O17" s="192"/>
      <c r="P17" s="196"/>
      <c r="Q17" s="213"/>
      <c r="R17" s="192"/>
    </row>
    <row r="18" spans="1:18" ht="15">
      <c r="A18" s="337"/>
      <c r="B18" s="373" t="s">
        <v>14</v>
      </c>
      <c r="C18" s="1096" t="s">
        <v>15</v>
      </c>
      <c r="D18" s="374" t="s">
        <v>16</v>
      </c>
      <c r="E18" s="374">
        <v>125</v>
      </c>
      <c r="F18" s="374">
        <v>125</v>
      </c>
      <c r="G18" s="200">
        <v>117</v>
      </c>
      <c r="H18" s="201">
        <f>'Баланс ВС'!F10</f>
        <v>90.7</v>
      </c>
      <c r="I18" s="200">
        <v>117</v>
      </c>
      <c r="J18" s="265">
        <v>117</v>
      </c>
      <c r="K18" s="218">
        <v>117</v>
      </c>
      <c r="L18" s="218">
        <v>117</v>
      </c>
      <c r="M18" s="780">
        <f>'Баланс ВС'!H10</f>
        <v>117</v>
      </c>
      <c r="N18" s="69">
        <v>100</v>
      </c>
      <c r="O18" s="193">
        <f>M18</f>
        <v>117</v>
      </c>
      <c r="P18" s="197">
        <f>M18</f>
        <v>117</v>
      </c>
      <c r="Q18" s="69">
        <v>100</v>
      </c>
      <c r="R18" s="193">
        <f>P18</f>
        <v>117</v>
      </c>
    </row>
    <row r="19" spans="1:18" ht="30">
      <c r="A19" s="337"/>
      <c r="B19" s="373" t="s">
        <v>17</v>
      </c>
      <c r="C19" s="1096" t="s">
        <v>18</v>
      </c>
      <c r="D19" s="374" t="s">
        <v>16</v>
      </c>
      <c r="E19" s="374">
        <v>0</v>
      </c>
      <c r="F19" s="374">
        <v>0</v>
      </c>
      <c r="G19" s="200">
        <v>0</v>
      </c>
      <c r="H19" s="201">
        <f>'Покупная продукция'!O12</f>
        <v>0</v>
      </c>
      <c r="I19" s="200">
        <v>0</v>
      </c>
      <c r="J19" s="265">
        <v>0</v>
      </c>
      <c r="K19" s="218">
        <v>0</v>
      </c>
      <c r="L19" s="218">
        <v>0</v>
      </c>
      <c r="M19" s="780">
        <f>'Покупная продукция'!W12</f>
        <v>0</v>
      </c>
      <c r="N19" s="69">
        <v>100</v>
      </c>
      <c r="O19" s="193">
        <f>M19</f>
        <v>0</v>
      </c>
      <c r="P19" s="197">
        <f>M19</f>
        <v>0</v>
      </c>
      <c r="Q19" s="69">
        <v>100</v>
      </c>
      <c r="R19" s="193">
        <f>P19</f>
        <v>0</v>
      </c>
    </row>
    <row r="20" spans="1:18" ht="30">
      <c r="A20" s="337"/>
      <c r="B20" s="373" t="s">
        <v>19</v>
      </c>
      <c r="C20" s="1096" t="s">
        <v>20</v>
      </c>
      <c r="D20" s="374" t="s">
        <v>16</v>
      </c>
      <c r="E20" s="374">
        <v>2</v>
      </c>
      <c r="F20" s="374">
        <v>2</v>
      </c>
      <c r="G20" s="200">
        <v>2</v>
      </c>
      <c r="H20" s="173">
        <v>2</v>
      </c>
      <c r="I20" s="197">
        <v>2</v>
      </c>
      <c r="J20" s="190">
        <v>2</v>
      </c>
      <c r="K20" s="787">
        <v>2</v>
      </c>
      <c r="L20" s="787">
        <v>2</v>
      </c>
      <c r="M20" s="204">
        <v>2</v>
      </c>
      <c r="N20" s="69">
        <f>IF(M20=0,0,O20/M20*100)</f>
        <v>100</v>
      </c>
      <c r="O20" s="193">
        <f>M20</f>
        <v>2</v>
      </c>
      <c r="P20" s="197">
        <f>M20</f>
        <v>2</v>
      </c>
      <c r="Q20" s="69">
        <v>100</v>
      </c>
      <c r="R20" s="193">
        <f>P20</f>
        <v>2</v>
      </c>
    </row>
    <row r="21" spans="1:18" ht="45">
      <c r="A21" s="337"/>
      <c r="B21" s="375" t="s">
        <v>21</v>
      </c>
      <c r="C21" s="1097" t="s">
        <v>22</v>
      </c>
      <c r="D21" s="374" t="s">
        <v>23</v>
      </c>
      <c r="E21" s="374">
        <v>1.6</v>
      </c>
      <c r="F21" s="374">
        <v>1.6</v>
      </c>
      <c r="G21" s="200">
        <v>1.7094017094017095</v>
      </c>
      <c r="H21" s="201">
        <f>H20/H18*100</f>
        <v>2.2050716648291067</v>
      </c>
      <c r="I21" s="200">
        <v>1.7094017094017095</v>
      </c>
      <c r="J21" s="265">
        <v>1.7094017094017095</v>
      </c>
      <c r="K21" s="218">
        <v>1.7094017094017095</v>
      </c>
      <c r="L21" s="218">
        <v>1.7094017094017095</v>
      </c>
      <c r="M21" s="200">
        <f>M20/M18*100</f>
        <v>1.7094017094017095</v>
      </c>
      <c r="N21" s="189"/>
      <c r="O21" s="201">
        <f>O20/O18*100</f>
        <v>1.7094017094017095</v>
      </c>
      <c r="P21" s="200">
        <f>P20/P18*100</f>
        <v>1.7094017094017095</v>
      </c>
      <c r="Q21" s="69"/>
      <c r="R21" s="201">
        <f>R20/R18*100</f>
        <v>1.7094017094017095</v>
      </c>
    </row>
    <row r="22" spans="1:18" ht="30">
      <c r="A22" s="337"/>
      <c r="B22" s="376" t="s">
        <v>24</v>
      </c>
      <c r="C22" s="1098" t="s">
        <v>25</v>
      </c>
      <c r="D22" s="374" t="s">
        <v>16</v>
      </c>
      <c r="E22" s="374">
        <v>125</v>
      </c>
      <c r="F22" s="374">
        <v>125</v>
      </c>
      <c r="G22" s="200">
        <v>117</v>
      </c>
      <c r="H22" s="173">
        <v>90.7</v>
      </c>
      <c r="I22" s="197">
        <v>117</v>
      </c>
      <c r="J22" s="190">
        <v>117</v>
      </c>
      <c r="K22" s="787">
        <v>117</v>
      </c>
      <c r="L22" s="787">
        <v>117</v>
      </c>
      <c r="M22" s="204">
        <v>117</v>
      </c>
      <c r="N22" s="69">
        <f>IF(M22=0,0,O22/M22*100)</f>
        <v>100</v>
      </c>
      <c r="O22" s="193">
        <f>M22</f>
        <v>117</v>
      </c>
      <c r="P22" s="200">
        <f>M22</f>
        <v>117</v>
      </c>
      <c r="Q22" s="69">
        <v>100</v>
      </c>
      <c r="R22" s="193">
        <f>P22</f>
        <v>117</v>
      </c>
    </row>
    <row r="23" spans="1:18" ht="15">
      <c r="A23" s="337"/>
      <c r="B23" s="376" t="s">
        <v>26</v>
      </c>
      <c r="C23" s="1098" t="s">
        <v>27</v>
      </c>
      <c r="D23" s="374" t="s">
        <v>28</v>
      </c>
      <c r="E23" s="374">
        <v>123</v>
      </c>
      <c r="F23" s="374">
        <v>123</v>
      </c>
      <c r="G23" s="200">
        <v>115</v>
      </c>
      <c r="H23" s="201">
        <f>H18+H19-H20</f>
        <v>88.7</v>
      </c>
      <c r="I23" s="200">
        <v>115</v>
      </c>
      <c r="J23" s="265">
        <v>115</v>
      </c>
      <c r="K23" s="218">
        <v>115</v>
      </c>
      <c r="L23" s="218">
        <v>115</v>
      </c>
      <c r="M23" s="200">
        <f>M18+M19-M20</f>
        <v>115</v>
      </c>
      <c r="N23" s="189">
        <v>100</v>
      </c>
      <c r="O23" s="201">
        <f>O18+O19-O20</f>
        <v>115</v>
      </c>
      <c r="P23" s="200">
        <f>P18+P19-P20</f>
        <v>115</v>
      </c>
      <c r="Q23" s="189">
        <v>100</v>
      </c>
      <c r="R23" s="201">
        <f>R18+R19-R20</f>
        <v>115</v>
      </c>
    </row>
    <row r="24" spans="1:18" ht="15">
      <c r="A24" s="337"/>
      <c r="B24" s="376" t="s">
        <v>29</v>
      </c>
      <c r="C24" s="1098" t="s">
        <v>30</v>
      </c>
      <c r="D24" s="374" t="s">
        <v>28</v>
      </c>
      <c r="E24" s="374">
        <v>3</v>
      </c>
      <c r="F24" s="374">
        <v>3</v>
      </c>
      <c r="G24" s="1093">
        <v>3</v>
      </c>
      <c r="H24" s="206">
        <v>3</v>
      </c>
      <c r="I24" s="1093">
        <v>3</v>
      </c>
      <c r="J24" s="190">
        <v>3</v>
      </c>
      <c r="K24" s="787">
        <v>3</v>
      </c>
      <c r="L24" s="787">
        <v>3</v>
      </c>
      <c r="M24" s="204">
        <v>3</v>
      </c>
      <c r="N24" s="69">
        <v>100</v>
      </c>
      <c r="O24" s="193">
        <f>M24*N24/100</f>
        <v>3</v>
      </c>
      <c r="P24" s="200">
        <f>M24</f>
        <v>3</v>
      </c>
      <c r="Q24" s="69">
        <v>100</v>
      </c>
      <c r="R24" s="193">
        <f>P24*Q24/100</f>
        <v>3</v>
      </c>
    </row>
    <row r="25" spans="1:18" ht="30.75" thickBot="1">
      <c r="A25" s="337"/>
      <c r="B25" s="378" t="s">
        <v>31</v>
      </c>
      <c r="C25" s="1099" t="s">
        <v>32</v>
      </c>
      <c r="D25" s="379" t="s">
        <v>23</v>
      </c>
      <c r="E25" s="379">
        <v>2.4390243902439024</v>
      </c>
      <c r="F25" s="379">
        <v>2.4390243902439024</v>
      </c>
      <c r="G25" s="238">
        <v>2.608695652173913</v>
      </c>
      <c r="H25" s="239">
        <f>IF(H24=0,0,H24/H23*100)</f>
        <v>3.3821871476888385</v>
      </c>
      <c r="I25" s="238">
        <v>2.608695652173913</v>
      </c>
      <c r="J25" s="397">
        <v>2.608695652173913</v>
      </c>
      <c r="K25" s="1116">
        <v>2.608695652173913</v>
      </c>
      <c r="L25" s="1116">
        <v>2.608695652173913</v>
      </c>
      <c r="M25" s="238">
        <f>IF(M24=0,0,M24/M23*100)</f>
        <v>2.608695652173913</v>
      </c>
      <c r="N25" s="694"/>
      <c r="O25" s="239">
        <f>IF(O24=0,0,O24/O23*100)</f>
        <v>2.608695652173913</v>
      </c>
      <c r="P25" s="238">
        <f>IF(P24=0,0,P24/P23*100)</f>
        <v>2.608695652173913</v>
      </c>
      <c r="Q25" s="694"/>
      <c r="R25" s="239">
        <f>IF(R24=0,0,R24/R23*100)</f>
        <v>2.608695652173913</v>
      </c>
    </row>
    <row r="26" spans="1:18" ht="33" customHeight="1" thickBot="1">
      <c r="A26" s="380"/>
      <c r="B26" s="381" t="s">
        <v>33</v>
      </c>
      <c r="C26" s="382" t="s">
        <v>34</v>
      </c>
      <c r="D26" s="693" t="s">
        <v>28</v>
      </c>
      <c r="E26" s="693">
        <v>120</v>
      </c>
      <c r="F26" s="693">
        <v>120</v>
      </c>
      <c r="G26" s="177">
        <v>112</v>
      </c>
      <c r="H26" s="187">
        <f>IF((H23-H24)=SUM(H27:H31),SUM(H27:H31),"ошибка")</f>
        <v>85.7</v>
      </c>
      <c r="I26" s="177">
        <v>112</v>
      </c>
      <c r="J26" s="188">
        <v>112</v>
      </c>
      <c r="K26" s="176">
        <v>112</v>
      </c>
      <c r="L26" s="176">
        <v>112</v>
      </c>
      <c r="M26" s="177">
        <f>IF((M23-M24)=SUM(M27:M31),SUM(M27:M31),"ошибка")</f>
        <v>112</v>
      </c>
      <c r="N26" s="185">
        <f aca="true" t="shared" si="0" ref="N26:N31">IF(M26=0,0,O26/M26*100)</f>
        <v>100</v>
      </c>
      <c r="O26" s="187">
        <f>IF((O23-O24)=SUM(O27:O31),SUM(O27:O31),"ошибка")</f>
        <v>112</v>
      </c>
      <c r="P26" s="177" t="e">
        <f>IF((P23-P24)=SUM(P27:P31),SUM(P27:P31),"ошибка")</f>
        <v>#REF!</v>
      </c>
      <c r="Q26" s="185" t="e">
        <f aca="true" t="shared" si="1" ref="Q26:Q31">IF(P26=0,0,R26/P26*100)</f>
        <v>#REF!</v>
      </c>
      <c r="R26" s="187" t="e">
        <f>IF((R23-R24)=SUM(R27:R31),SUM(R27:R31),"ошибка")</f>
        <v>#REF!</v>
      </c>
    </row>
    <row r="27" spans="1:18" ht="19.5" customHeight="1">
      <c r="A27" s="337"/>
      <c r="B27" s="383" t="s">
        <v>35</v>
      </c>
      <c r="C27" s="384" t="s">
        <v>36</v>
      </c>
      <c r="D27" s="385" t="s">
        <v>28</v>
      </c>
      <c r="E27" s="385">
        <v>0</v>
      </c>
      <c r="F27" s="385">
        <v>0</v>
      </c>
      <c r="G27" s="210">
        <v>0</v>
      </c>
      <c r="H27" s="211">
        <f>Абоненты!G11</f>
        <v>0</v>
      </c>
      <c r="I27" s="210">
        <v>0</v>
      </c>
      <c r="J27" s="996">
        <v>0</v>
      </c>
      <c r="K27" s="1117">
        <v>0</v>
      </c>
      <c r="L27" s="1117">
        <v>0</v>
      </c>
      <c r="M27" s="182">
        <f>Абоненты!I11</f>
        <v>0</v>
      </c>
      <c r="N27" s="695">
        <f t="shared" si="0"/>
        <v>0</v>
      </c>
      <c r="O27" s="184">
        <f>M27</f>
        <v>0</v>
      </c>
      <c r="P27" s="210">
        <f>O27</f>
        <v>0</v>
      </c>
      <c r="Q27" s="695">
        <f t="shared" si="1"/>
        <v>0</v>
      </c>
      <c r="R27" s="184">
        <f>P27</f>
        <v>0</v>
      </c>
    </row>
    <row r="28" spans="1:18" ht="19.5" customHeight="1">
      <c r="A28" s="337"/>
      <c r="B28" s="376" t="s">
        <v>37</v>
      </c>
      <c r="C28" s="386" t="s">
        <v>38</v>
      </c>
      <c r="D28" s="374" t="s">
        <v>16</v>
      </c>
      <c r="E28" s="374">
        <v>88.6</v>
      </c>
      <c r="F28" s="374">
        <v>88.6</v>
      </c>
      <c r="G28" s="200">
        <v>80.6</v>
      </c>
      <c r="H28" s="201">
        <f>Абоненты!G15</f>
        <v>55.7</v>
      </c>
      <c r="I28" s="200">
        <v>80.6</v>
      </c>
      <c r="J28" s="190">
        <v>80.6</v>
      </c>
      <c r="K28" s="787">
        <v>80.6</v>
      </c>
      <c r="L28" s="787">
        <v>80.6</v>
      </c>
      <c r="M28" s="200">
        <f>Абоненты!I15</f>
        <v>80.6</v>
      </c>
      <c r="N28" s="69">
        <f t="shared" si="0"/>
        <v>100</v>
      </c>
      <c r="O28" s="193">
        <f>M28</f>
        <v>80.6</v>
      </c>
      <c r="P28" s="200">
        <f>O28</f>
        <v>80.6</v>
      </c>
      <c r="Q28" s="69">
        <f t="shared" si="1"/>
        <v>100</v>
      </c>
      <c r="R28" s="193">
        <f>P28</f>
        <v>80.6</v>
      </c>
    </row>
    <row r="29" spans="1:18" ht="19.5" customHeight="1">
      <c r="A29" s="337"/>
      <c r="B29" s="376" t="s">
        <v>39</v>
      </c>
      <c r="C29" s="386" t="s">
        <v>40</v>
      </c>
      <c r="D29" s="374" t="s">
        <v>16</v>
      </c>
      <c r="E29" s="374">
        <v>0</v>
      </c>
      <c r="F29" s="374">
        <v>0</v>
      </c>
      <c r="G29" s="200">
        <v>0</v>
      </c>
      <c r="H29" s="201">
        <f>Абоненты!G20</f>
        <v>0</v>
      </c>
      <c r="I29" s="200">
        <v>0</v>
      </c>
      <c r="J29" s="190">
        <v>0</v>
      </c>
      <c r="K29" s="787">
        <v>0</v>
      </c>
      <c r="L29" s="787">
        <v>0</v>
      </c>
      <c r="M29" s="200">
        <f>Абоненты!I20</f>
        <v>0</v>
      </c>
      <c r="N29" s="69">
        <f t="shared" si="0"/>
        <v>0</v>
      </c>
      <c r="O29" s="193">
        <f>M29</f>
        <v>0</v>
      </c>
      <c r="P29" s="200" t="e">
        <f>#REF!</f>
        <v>#REF!</v>
      </c>
      <c r="Q29" s="69" t="e">
        <f t="shared" si="1"/>
        <v>#REF!</v>
      </c>
      <c r="R29" s="193" t="e">
        <f>P29</f>
        <v>#REF!</v>
      </c>
    </row>
    <row r="30" spans="1:18" ht="19.5" customHeight="1">
      <c r="A30" s="337"/>
      <c r="B30" s="376" t="s">
        <v>41</v>
      </c>
      <c r="C30" s="386" t="s">
        <v>42</v>
      </c>
      <c r="D30" s="374" t="s">
        <v>16</v>
      </c>
      <c r="E30" s="374">
        <v>31.4</v>
      </c>
      <c r="F30" s="374">
        <v>31.4</v>
      </c>
      <c r="G30" s="200">
        <v>31.4</v>
      </c>
      <c r="H30" s="201">
        <f>Абоненты!G25</f>
        <v>30</v>
      </c>
      <c r="I30" s="200">
        <v>31.4</v>
      </c>
      <c r="J30" s="190">
        <v>31.4</v>
      </c>
      <c r="K30" s="787">
        <v>31.4</v>
      </c>
      <c r="L30" s="787">
        <v>31.4</v>
      </c>
      <c r="M30" s="200">
        <f>Абоненты!I25</f>
        <v>31.4</v>
      </c>
      <c r="N30" s="69">
        <f t="shared" si="0"/>
        <v>100</v>
      </c>
      <c r="O30" s="193">
        <f>M30</f>
        <v>31.4</v>
      </c>
      <c r="P30" s="200" t="e">
        <f>#REF!</f>
        <v>#REF!</v>
      </c>
      <c r="Q30" s="69" t="e">
        <f t="shared" si="1"/>
        <v>#REF!</v>
      </c>
      <c r="R30" s="193" t="e">
        <f>P30</f>
        <v>#REF!</v>
      </c>
    </row>
    <row r="31" spans="1:18" ht="19.5" customHeight="1" thickBot="1">
      <c r="A31" s="337"/>
      <c r="B31" s="387" t="s">
        <v>43</v>
      </c>
      <c r="C31" s="388" t="s">
        <v>44</v>
      </c>
      <c r="D31" s="379" t="s">
        <v>16</v>
      </c>
      <c r="E31" s="379">
        <v>0</v>
      </c>
      <c r="F31" s="379">
        <v>0</v>
      </c>
      <c r="G31" s="198">
        <v>0</v>
      </c>
      <c r="H31" s="945">
        <f>Абоненты!G29</f>
        <v>0</v>
      </c>
      <c r="I31" s="198">
        <v>0</v>
      </c>
      <c r="J31" s="997">
        <v>0</v>
      </c>
      <c r="K31" s="997">
        <v>0</v>
      </c>
      <c r="L31" s="997">
        <v>0</v>
      </c>
      <c r="M31" s="198">
        <f>Абоненты!I29</f>
        <v>0</v>
      </c>
      <c r="N31" s="195">
        <f t="shared" si="0"/>
        <v>0</v>
      </c>
      <c r="O31" s="194">
        <f>M31</f>
        <v>0</v>
      </c>
      <c r="P31" s="202" t="e">
        <f>#REF!</f>
        <v>#REF!</v>
      </c>
      <c r="Q31" s="195" t="e">
        <f t="shared" si="1"/>
        <v>#REF!</v>
      </c>
      <c r="R31" s="194" t="e">
        <f>P31</f>
        <v>#REF!</v>
      </c>
    </row>
    <row r="32" spans="1:18" ht="20.25" customHeight="1">
      <c r="A32" s="337"/>
      <c r="B32" s="370">
        <v>2</v>
      </c>
      <c r="C32" s="371" t="s">
        <v>308</v>
      </c>
      <c r="D32" s="389"/>
      <c r="E32" s="1137"/>
      <c r="F32" s="1137"/>
      <c r="G32" s="390"/>
      <c r="H32" s="209"/>
      <c r="I32" s="182"/>
      <c r="J32" s="996"/>
      <c r="K32" s="1117"/>
      <c r="L32" s="1117"/>
      <c r="M32" s="182"/>
      <c r="N32" s="391"/>
      <c r="O32" s="184"/>
      <c r="P32" s="394"/>
      <c r="Q32" s="213"/>
      <c r="R32" s="395"/>
    </row>
    <row r="33" spans="1:18" ht="29.25" thickBot="1">
      <c r="A33" s="337"/>
      <c r="B33" s="459" t="s">
        <v>45</v>
      </c>
      <c r="C33" s="807" t="s">
        <v>307</v>
      </c>
      <c r="D33" s="808" t="s">
        <v>46</v>
      </c>
      <c r="E33" s="1138"/>
      <c r="F33" s="1138">
        <v>0</v>
      </c>
      <c r="G33" s="945"/>
      <c r="H33" s="266">
        <f>IF(Справочник!D1="да",Материалы!G25,Материалы!H25)</f>
        <v>0</v>
      </c>
      <c r="I33" s="202">
        <v>0</v>
      </c>
      <c r="J33" s="266">
        <v>0</v>
      </c>
      <c r="K33" s="997">
        <v>0</v>
      </c>
      <c r="L33" s="997">
        <v>0</v>
      </c>
      <c r="M33" s="198">
        <f>IF(Справочник!D1="да",Материалы!M25,Материалы!N25)</f>
        <v>0</v>
      </c>
      <c r="N33" s="1042">
        <f>IF(Титульный!$B$5="2016 - 2018",Индексы!$C$7,ROUND((100-'Расчет тарифов'!$M$183)*(1+'Расчет тарифов'!$M$185/100),2))</f>
        <v>104.94</v>
      </c>
      <c r="O33" s="194">
        <f>M33*N33/100</f>
        <v>0</v>
      </c>
      <c r="P33" s="295">
        <f>M33</f>
        <v>0</v>
      </c>
      <c r="Q33" s="1048">
        <f>IF(Титульный!$B$5="2016 - 2018",Индексы!#REF!,ROUND((1-'Расчет тарифов'!$P$183/100)*(100+$P$185),2))</f>
        <v>105.34</v>
      </c>
      <c r="R33" s="294">
        <f>P33*Q33/100</f>
        <v>0</v>
      </c>
    </row>
    <row r="34" spans="1:18" ht="29.25" thickBot="1">
      <c r="A34" s="337"/>
      <c r="B34" s="381" t="s">
        <v>47</v>
      </c>
      <c r="C34" s="398" t="s">
        <v>48</v>
      </c>
      <c r="D34" s="399" t="s">
        <v>46</v>
      </c>
      <c r="E34" s="1139">
        <v>571.3793000000001</v>
      </c>
      <c r="F34" s="1139">
        <v>572.1052751071895</v>
      </c>
      <c r="G34" s="175">
        <v>601.6640000000001</v>
      </c>
      <c r="H34" s="176">
        <f>(H35*H36)+H37</f>
        <v>458.7143588394723</v>
      </c>
      <c r="I34" s="177">
        <v>601.3022400000001</v>
      </c>
      <c r="J34" s="176">
        <v>649.4064192000001</v>
      </c>
      <c r="K34" s="176">
        <v>601.3022400000001</v>
      </c>
      <c r="L34" s="176">
        <v>649.4064192000001</v>
      </c>
      <c r="M34" s="177">
        <f>(M35*M36)+M37</f>
        <v>844.6423127200001</v>
      </c>
      <c r="N34" s="179">
        <f>IF(M34=0,0,O34/M34*100)</f>
        <v>109.31108542582226</v>
      </c>
      <c r="O34" s="178">
        <f>(O35*O36)+O37</f>
        <v>923.28768</v>
      </c>
      <c r="P34" s="177" t="e">
        <f>(P35*P36)+P37</f>
        <v>#REF!</v>
      </c>
      <c r="Q34" s="179" t="e">
        <f>IF(P34=0,0,R34/P34*100)</f>
        <v>#REF!</v>
      </c>
      <c r="R34" s="178" t="e">
        <f>(R35*R36)+R37</f>
        <v>#REF!</v>
      </c>
    </row>
    <row r="35" spans="1:18" ht="20.25" customHeight="1">
      <c r="A35" s="337"/>
      <c r="B35" s="400" t="s">
        <v>49</v>
      </c>
      <c r="C35" s="401" t="s">
        <v>472</v>
      </c>
      <c r="D35" s="402" t="s">
        <v>50</v>
      </c>
      <c r="E35" s="1140">
        <v>2.93</v>
      </c>
      <c r="F35" s="1140">
        <v>2.9347882576064204</v>
      </c>
      <c r="G35" s="212">
        <v>3.16</v>
      </c>
      <c r="H35" s="214">
        <f>IF(Справочник!D1="да",'Ср. тариф ЭЭ'!E23,'Ср. тариф ЭЭ'!F23)</f>
        <v>3.1361903967384435</v>
      </c>
      <c r="I35" s="208">
        <v>3.1581</v>
      </c>
      <c r="J35" s="995">
        <v>3.4107480000000003</v>
      </c>
      <c r="K35" s="1117">
        <v>3.1581</v>
      </c>
      <c r="L35" s="1117">
        <v>3.4107480000000003</v>
      </c>
      <c r="M35" s="1291">
        <v>4.49</v>
      </c>
      <c r="N35" s="1043">
        <v>108</v>
      </c>
      <c r="O35" s="184">
        <f>M35*N35/100</f>
        <v>4.8492</v>
      </c>
      <c r="P35" s="200" t="e">
        <f>#REF!</f>
        <v>#REF!</v>
      </c>
      <c r="Q35" s="1064" t="e">
        <f>Индексы!#REF!</f>
        <v>#REF!</v>
      </c>
      <c r="R35" s="184" t="e">
        <f>P35*Q35/100</f>
        <v>#REF!</v>
      </c>
    </row>
    <row r="36" spans="1:18" ht="20.25" customHeight="1" thickBot="1">
      <c r="A36" s="403"/>
      <c r="B36" s="296" t="s">
        <v>51</v>
      </c>
      <c r="C36" s="386" t="s">
        <v>309</v>
      </c>
      <c r="D36" s="404" t="s">
        <v>52</v>
      </c>
      <c r="E36" s="463">
        <v>195.01</v>
      </c>
      <c r="F36" s="463">
        <v>194.9392</v>
      </c>
      <c r="G36" s="200">
        <v>190.4</v>
      </c>
      <c r="H36" s="201">
        <f>'Расходы ЭЭ'!G10/1000</f>
        <v>146.264831152</v>
      </c>
      <c r="I36" s="199">
        <v>190.4</v>
      </c>
      <c r="J36" s="265">
        <v>190.4</v>
      </c>
      <c r="K36" s="218">
        <v>190.4</v>
      </c>
      <c r="L36" s="218">
        <v>190.4</v>
      </c>
      <c r="M36" s="782">
        <f>'Расходы ЭЭ'!K10/1000</f>
        <v>188.116328</v>
      </c>
      <c r="N36" s="189"/>
      <c r="O36" s="206">
        <v>190.4</v>
      </c>
      <c r="P36" s="200">
        <v>190.4</v>
      </c>
      <c r="Q36" s="189">
        <f>IF(P36=0,0,R36/P36*100)</f>
        <v>100</v>
      </c>
      <c r="R36" s="193">
        <v>190.4</v>
      </c>
    </row>
    <row r="37" spans="1:18" ht="30.75" customHeight="1" hidden="1" thickBot="1">
      <c r="A37" s="403"/>
      <c r="B37" s="405" t="s">
        <v>658</v>
      </c>
      <c r="C37" s="406" t="s">
        <v>659</v>
      </c>
      <c r="D37" s="396" t="s">
        <v>46</v>
      </c>
      <c r="E37" s="1141"/>
      <c r="F37" s="1141"/>
      <c r="G37" s="1169"/>
      <c r="H37" s="174"/>
      <c r="I37" s="1175">
        <v>0</v>
      </c>
      <c r="J37" s="1176">
        <v>0</v>
      </c>
      <c r="K37" s="307">
        <v>0</v>
      </c>
      <c r="L37" s="307">
        <v>0</v>
      </c>
      <c r="M37" s="1292"/>
      <c r="N37" s="1044">
        <v>108</v>
      </c>
      <c r="O37" s="184">
        <f>M37*N37/100</f>
        <v>0</v>
      </c>
      <c r="P37" s="182">
        <f>M37</f>
        <v>0</v>
      </c>
      <c r="Q37" s="1064" t="e">
        <f>Индексы!#REF!</f>
        <v>#REF!</v>
      </c>
      <c r="R37" s="184" t="e">
        <f>P37*Q37/100</f>
        <v>#REF!</v>
      </c>
    </row>
    <row r="38" spans="1:18" ht="43.5" thickBot="1">
      <c r="A38" s="337"/>
      <c r="B38" s="381" t="s">
        <v>53</v>
      </c>
      <c r="C38" s="398" t="s">
        <v>54</v>
      </c>
      <c r="D38" s="407" t="s">
        <v>46</v>
      </c>
      <c r="E38" s="1142">
        <v>1301.8003200000003</v>
      </c>
      <c r="F38" s="1142">
        <v>1364.29</v>
      </c>
      <c r="G38" s="175">
        <v>1439.3232</v>
      </c>
      <c r="H38" s="176">
        <f>(H40+H41)*H44*H15/1000</f>
        <v>1439.32</v>
      </c>
      <c r="I38" s="177">
        <v>719.6616</v>
      </c>
      <c r="J38" s="176">
        <v>765.7199423999998</v>
      </c>
      <c r="K38" s="176">
        <v>719.6616</v>
      </c>
      <c r="L38" s="176">
        <v>765.7199423999998</v>
      </c>
      <c r="M38" s="177">
        <f>(M40+M41)*M44*12/1000</f>
        <v>765.72</v>
      </c>
      <c r="N38" s="185">
        <f>IF(M38=0,0,O38/M38*100)</f>
        <v>104.93999999999998</v>
      </c>
      <c r="O38" s="178">
        <f>(O40+O41)*O44*12/1000</f>
        <v>803.546568</v>
      </c>
      <c r="P38" s="177">
        <f>(P40+P41)*P44*12/1000</f>
        <v>719.6616</v>
      </c>
      <c r="Q38" s="186">
        <f>IF(P38=0,0,R38/P38*100)</f>
        <v>105.34000000000002</v>
      </c>
      <c r="R38" s="187">
        <f>(R40+R41)*R44*12/1000</f>
        <v>758.09152944</v>
      </c>
    </row>
    <row r="39" spans="1:18" ht="15">
      <c r="A39" s="337"/>
      <c r="B39" s="408" t="s">
        <v>55</v>
      </c>
      <c r="C39" s="1102" t="s">
        <v>313</v>
      </c>
      <c r="D39" s="410" t="s">
        <v>56</v>
      </c>
      <c r="E39" s="1143">
        <v>6</v>
      </c>
      <c r="F39" s="1143">
        <v>6</v>
      </c>
      <c r="G39" s="208">
        <v>6</v>
      </c>
      <c r="H39" s="209">
        <f>H40+H41+H42+H43</f>
        <v>6</v>
      </c>
      <c r="I39" s="210">
        <v>3</v>
      </c>
      <c r="J39" s="209">
        <v>3</v>
      </c>
      <c r="K39" s="1118">
        <v>3</v>
      </c>
      <c r="L39" s="1118">
        <v>3</v>
      </c>
      <c r="M39" s="210">
        <f>M40+M41+M42+M43</f>
        <v>3</v>
      </c>
      <c r="N39" s="180">
        <f>IF(M39=0,0,O39/M39*100)</f>
        <v>100</v>
      </c>
      <c r="O39" s="211">
        <f>O40+O41+O42+O43</f>
        <v>3</v>
      </c>
      <c r="P39" s="210">
        <f>P40+P41+P42+P43</f>
        <v>3</v>
      </c>
      <c r="Q39" s="180">
        <f>IF(P39=0,0,R39/P39*100)</f>
        <v>100</v>
      </c>
      <c r="R39" s="211">
        <f>R40+R41+R42+R43</f>
        <v>3</v>
      </c>
    </row>
    <row r="40" spans="1:18" ht="29.25" customHeight="1">
      <c r="A40" s="337"/>
      <c r="B40" s="331" t="s">
        <v>57</v>
      </c>
      <c r="C40" s="1098" t="s">
        <v>310</v>
      </c>
      <c r="D40" s="404" t="s">
        <v>56</v>
      </c>
      <c r="E40" s="1144">
        <v>6</v>
      </c>
      <c r="F40" s="1144">
        <v>6</v>
      </c>
      <c r="G40" s="199">
        <v>6</v>
      </c>
      <c r="H40" s="218">
        <f>Численность!G11</f>
        <v>6</v>
      </c>
      <c r="I40" s="200">
        <v>3</v>
      </c>
      <c r="J40" s="218">
        <v>3</v>
      </c>
      <c r="K40" s="218">
        <v>3</v>
      </c>
      <c r="L40" s="218">
        <v>3</v>
      </c>
      <c r="M40" s="172">
        <v>3</v>
      </c>
      <c r="N40" s="189"/>
      <c r="O40" s="193">
        <v>3</v>
      </c>
      <c r="P40" s="204">
        <v>3</v>
      </c>
      <c r="Q40" s="189"/>
      <c r="R40" s="206">
        <f>P40</f>
        <v>3</v>
      </c>
    </row>
    <row r="41" spans="1:18" ht="17.25" customHeight="1">
      <c r="A41" s="337"/>
      <c r="B41" s="331" t="s">
        <v>58</v>
      </c>
      <c r="C41" s="1098" t="s">
        <v>311</v>
      </c>
      <c r="D41" s="404" t="s">
        <v>56</v>
      </c>
      <c r="E41" s="1144"/>
      <c r="F41" s="1144">
        <v>0</v>
      </c>
      <c r="G41" s="199"/>
      <c r="H41" s="218">
        <f>Численность!G16</f>
        <v>0</v>
      </c>
      <c r="I41" s="200">
        <v>0</v>
      </c>
      <c r="J41" s="218">
        <v>0</v>
      </c>
      <c r="K41" s="218">
        <v>0</v>
      </c>
      <c r="L41" s="218">
        <v>0</v>
      </c>
      <c r="M41" s="172"/>
      <c r="N41" s="189"/>
      <c r="O41" s="193"/>
      <c r="P41" s="204">
        <f>M41</f>
        <v>0</v>
      </c>
      <c r="Q41" s="189"/>
      <c r="R41" s="206">
        <f>P41</f>
        <v>0</v>
      </c>
    </row>
    <row r="42" spans="1:18" ht="15">
      <c r="A42" s="337"/>
      <c r="B42" s="331" t="s">
        <v>60</v>
      </c>
      <c r="C42" s="1098" t="s">
        <v>59</v>
      </c>
      <c r="D42" s="404" t="s">
        <v>56</v>
      </c>
      <c r="E42" s="1144"/>
      <c r="F42" s="1144">
        <v>0</v>
      </c>
      <c r="G42" s="199"/>
      <c r="H42" s="218">
        <f>Численность!G21</f>
        <v>0</v>
      </c>
      <c r="I42" s="200">
        <v>0</v>
      </c>
      <c r="J42" s="218">
        <v>0</v>
      </c>
      <c r="K42" s="218">
        <v>0</v>
      </c>
      <c r="L42" s="218">
        <v>0</v>
      </c>
      <c r="M42" s="172"/>
      <c r="N42" s="189"/>
      <c r="O42" s="201"/>
      <c r="P42" s="204">
        <f>M42</f>
        <v>0</v>
      </c>
      <c r="Q42" s="189"/>
      <c r="R42" s="173">
        <f>P42</f>
        <v>0</v>
      </c>
    </row>
    <row r="43" spans="1:18" ht="15">
      <c r="A43" s="337"/>
      <c r="B43" s="331" t="s">
        <v>312</v>
      </c>
      <c r="C43" s="1098" t="s">
        <v>61</v>
      </c>
      <c r="D43" s="404" t="s">
        <v>56</v>
      </c>
      <c r="E43" s="1144"/>
      <c r="F43" s="1144">
        <v>0</v>
      </c>
      <c r="G43" s="199"/>
      <c r="H43" s="218">
        <f>Численность!G26</f>
        <v>0</v>
      </c>
      <c r="I43" s="200">
        <v>0</v>
      </c>
      <c r="J43" s="218">
        <v>0</v>
      </c>
      <c r="K43" s="218">
        <v>0</v>
      </c>
      <c r="L43" s="218">
        <v>0</v>
      </c>
      <c r="M43" s="172"/>
      <c r="N43" s="189"/>
      <c r="O43" s="201"/>
      <c r="P43" s="204">
        <f>M43</f>
        <v>0</v>
      </c>
      <c r="Q43" s="189"/>
      <c r="R43" s="173">
        <f>P43</f>
        <v>0</v>
      </c>
    </row>
    <row r="44" spans="1:18" ht="30.75" thickBot="1">
      <c r="A44" s="337"/>
      <c r="B44" s="378" t="s">
        <v>62</v>
      </c>
      <c r="C44" s="1103" t="s">
        <v>63</v>
      </c>
      <c r="D44" s="412" t="s">
        <v>50</v>
      </c>
      <c r="E44" s="1145">
        <v>18080.56</v>
      </c>
      <c r="F44" s="1145">
        <v>18948.472222222223</v>
      </c>
      <c r="G44" s="416">
        <v>19990.6</v>
      </c>
      <c r="H44" s="397">
        <f>IF(SUM(H40:H41)=0,0,(Численность!H11+Численность!H16)/(Численность!G11+Численность!G16)/H15)</f>
        <v>19990.555555555555</v>
      </c>
      <c r="I44" s="1177">
        <v>19990.6</v>
      </c>
      <c r="J44" s="1178">
        <v>21269.998399999997</v>
      </c>
      <c r="K44" s="1183">
        <v>19990.6</v>
      </c>
      <c r="L44" s="1183">
        <v>21269.998399999997</v>
      </c>
      <c r="M44" s="783">
        <f>IF((M40+M41)=0,0,(Численность!N11+Численность!N16)/(Численность!J11+Численность!J16))</f>
        <v>21270</v>
      </c>
      <c r="N44" s="1046">
        <f>IF(Титульный!B5="2016 - 2018",Индексы!$C$9,ROUND((1-'Расчет тарифов'!$M$183/100)*(100+'Расчет тарифов'!$M$185),2))</f>
        <v>104.94</v>
      </c>
      <c r="O44" s="183">
        <f>M44*N44/100</f>
        <v>22320.737999999998</v>
      </c>
      <c r="P44" s="181">
        <v>19990.6</v>
      </c>
      <c r="Q44" s="1045">
        <f>IF(Титульный!$B$5="2016 - 2018",Индексы!#REF!,ROUND((1-'Расчет тарифов'!$P$183/100)*(100+$P$185),2))</f>
        <v>105.34</v>
      </c>
      <c r="R44" s="183">
        <f>P44*Q44/100</f>
        <v>21058.09804</v>
      </c>
    </row>
    <row r="45" spans="1:18" ht="29.25" thickBot="1">
      <c r="A45" s="337"/>
      <c r="B45" s="381" t="s">
        <v>64</v>
      </c>
      <c r="C45" s="398" t="s">
        <v>65</v>
      </c>
      <c r="D45" s="413" t="s">
        <v>66</v>
      </c>
      <c r="E45" s="1146">
        <v>390.54009600000006</v>
      </c>
      <c r="F45" s="1146">
        <v>409.29</v>
      </c>
      <c r="G45" s="175">
        <v>431.79696</v>
      </c>
      <c r="H45" s="215">
        <f>H38*0.3</f>
        <v>431.796</v>
      </c>
      <c r="I45" s="177">
        <v>215.89848</v>
      </c>
      <c r="J45" s="188">
        <v>229.71598271999994</v>
      </c>
      <c r="K45" s="176">
        <v>215.89848</v>
      </c>
      <c r="L45" s="176">
        <v>229.71598271999994</v>
      </c>
      <c r="M45" s="177">
        <f>M38*M46/100</f>
        <v>229.716</v>
      </c>
      <c r="N45" s="185">
        <f>IF(M45=0,0,O45/M45*100)</f>
        <v>104.93999999999998</v>
      </c>
      <c r="O45" s="187">
        <f>O38*O46/100</f>
        <v>241.0639704</v>
      </c>
      <c r="P45" s="177">
        <f>P38*P46/100</f>
        <v>215.89848</v>
      </c>
      <c r="Q45" s="185">
        <f>IF(P45=0,0,R45/P45*100)</f>
        <v>105.34000000000002</v>
      </c>
      <c r="R45" s="187">
        <f>R38*R46/100</f>
        <v>227.427458832</v>
      </c>
    </row>
    <row r="46" spans="1:18" s="1074" customFormat="1" ht="19.5" customHeight="1" thickBot="1">
      <c r="A46" s="1066"/>
      <c r="B46" s="1067" t="s">
        <v>67</v>
      </c>
      <c r="C46" s="1068" t="s">
        <v>68</v>
      </c>
      <c r="D46" s="1067" t="s">
        <v>23</v>
      </c>
      <c r="E46" s="1147">
        <v>30</v>
      </c>
      <c r="F46" s="1147">
        <v>30.00021989459719</v>
      </c>
      <c r="G46" s="1170">
        <v>30</v>
      </c>
      <c r="H46" s="1069">
        <f>H45/H38*100</f>
        <v>30</v>
      </c>
      <c r="I46" s="1070">
        <v>30</v>
      </c>
      <c r="J46" s="1071">
        <v>30</v>
      </c>
      <c r="K46" s="1119">
        <v>30</v>
      </c>
      <c r="L46" s="1119">
        <v>30</v>
      </c>
      <c r="M46" s="1070">
        <v>30</v>
      </c>
      <c r="N46" s="1072"/>
      <c r="O46" s="1073">
        <v>30</v>
      </c>
      <c r="P46" s="1070">
        <v>30</v>
      </c>
      <c r="Q46" s="1072"/>
      <c r="R46" s="1073">
        <v>30</v>
      </c>
    </row>
    <row r="47" spans="1:18" ht="29.25" thickBot="1">
      <c r="A47" s="337"/>
      <c r="B47" s="381" t="s">
        <v>69</v>
      </c>
      <c r="C47" s="398" t="s">
        <v>70</v>
      </c>
      <c r="D47" s="413" t="s">
        <v>66</v>
      </c>
      <c r="E47" s="1146">
        <v>14.5</v>
      </c>
      <c r="F47" s="1146">
        <v>14.5</v>
      </c>
      <c r="G47" s="175">
        <v>14.5</v>
      </c>
      <c r="H47" s="188">
        <f>Амортизация!G9</f>
        <v>24.035059999999998</v>
      </c>
      <c r="I47" s="876">
        <v>15.4</v>
      </c>
      <c r="J47" s="186">
        <v>15.4</v>
      </c>
      <c r="K47" s="1184">
        <v>15.4</v>
      </c>
      <c r="L47" s="1184">
        <v>15.4</v>
      </c>
      <c r="M47" s="784">
        <f>Амортизация!M9</f>
        <v>15.401399999999999</v>
      </c>
      <c r="N47" s="414">
        <f>IF(M47=0,0,O47/M47*100)</f>
        <v>100</v>
      </c>
      <c r="O47" s="219">
        <f>Амортизация!M9</f>
        <v>15.401399999999999</v>
      </c>
      <c r="P47" s="216">
        <v>15.4</v>
      </c>
      <c r="Q47" s="414">
        <f>IF(P47=0,0,R47/P47*100)</f>
        <v>100</v>
      </c>
      <c r="R47" s="219">
        <f>P47</f>
        <v>15.4</v>
      </c>
    </row>
    <row r="48" spans="1:18" ht="18" customHeight="1" hidden="1">
      <c r="A48" s="337"/>
      <c r="B48" s="400" t="s">
        <v>71</v>
      </c>
      <c r="C48" s="384" t="s">
        <v>72</v>
      </c>
      <c r="D48" s="402" t="s">
        <v>46</v>
      </c>
      <c r="E48" s="1140"/>
      <c r="F48" s="1140">
        <v>338.1</v>
      </c>
      <c r="G48" s="212"/>
      <c r="H48" s="214">
        <f>Амортизация!C9</f>
        <v>625.718</v>
      </c>
      <c r="I48" s="1117">
        <v>338.1</v>
      </c>
      <c r="J48" s="995">
        <v>338.1</v>
      </c>
      <c r="K48" s="1117">
        <v>338.1</v>
      </c>
      <c r="L48" s="1117">
        <v>338.1</v>
      </c>
      <c r="M48" s="781">
        <f>Амортизация!H9</f>
        <v>625.718</v>
      </c>
      <c r="N48" s="391"/>
      <c r="O48" s="789">
        <f>Амортизация!H9</f>
        <v>625.718</v>
      </c>
      <c r="P48" s="392">
        <f>M48</f>
        <v>625.718</v>
      </c>
      <c r="Q48" s="391"/>
      <c r="R48" s="789">
        <f>O48</f>
        <v>625.718</v>
      </c>
    </row>
    <row r="49" spans="1:18" ht="18" customHeight="1" hidden="1">
      <c r="A49" s="337"/>
      <c r="B49" s="331" t="s">
        <v>73</v>
      </c>
      <c r="C49" s="386" t="s">
        <v>74</v>
      </c>
      <c r="D49" s="404" t="s">
        <v>46</v>
      </c>
      <c r="E49" s="463">
        <v>0</v>
      </c>
      <c r="F49" s="463">
        <v>139.50000000000003</v>
      </c>
      <c r="G49" s="200">
        <v>0</v>
      </c>
      <c r="H49" s="201">
        <f>H48-H50</f>
        <v>266.74699999999996</v>
      </c>
      <c r="I49" s="787">
        <v>148.60000000000002</v>
      </c>
      <c r="J49" s="190">
        <v>148.60000000000002</v>
      </c>
      <c r="K49" s="787">
        <v>148.60000000000002</v>
      </c>
      <c r="L49" s="787">
        <v>148.60000000000002</v>
      </c>
      <c r="M49" s="119">
        <f>M48-M50</f>
        <v>297.5498</v>
      </c>
      <c r="N49" s="415"/>
      <c r="O49" s="201">
        <f>M48-M50</f>
        <v>297.5498</v>
      </c>
      <c r="P49" s="119">
        <f>M49</f>
        <v>297.5498</v>
      </c>
      <c r="Q49" s="415"/>
      <c r="R49" s="173">
        <f>O49</f>
        <v>297.5498</v>
      </c>
    </row>
    <row r="50" spans="1:18" ht="19.5" customHeight="1" hidden="1" thickBot="1">
      <c r="A50" s="337"/>
      <c r="B50" s="378" t="s">
        <v>75</v>
      </c>
      <c r="C50" s="388" t="s">
        <v>76</v>
      </c>
      <c r="D50" s="412" t="s">
        <v>46</v>
      </c>
      <c r="E50" s="1148"/>
      <c r="F50" s="1148">
        <v>198.6</v>
      </c>
      <c r="G50" s="202"/>
      <c r="H50" s="203">
        <f>Амортизация!F9</f>
        <v>358.971</v>
      </c>
      <c r="I50" s="416">
        <v>189.5</v>
      </c>
      <c r="J50" s="397">
        <v>189.5</v>
      </c>
      <c r="K50" s="1116">
        <v>189.5</v>
      </c>
      <c r="L50" s="1116">
        <v>189.5</v>
      </c>
      <c r="M50" s="785">
        <f>Амортизация!L9</f>
        <v>328.16819999999996</v>
      </c>
      <c r="N50" s="235"/>
      <c r="O50" s="792">
        <f>Амортизация!L9</f>
        <v>328.16819999999996</v>
      </c>
      <c r="P50" s="238">
        <f>M50</f>
        <v>328.16819999999996</v>
      </c>
      <c r="Q50" s="235"/>
      <c r="R50" s="239">
        <f>P50</f>
        <v>328.16819999999996</v>
      </c>
    </row>
    <row r="51" spans="1:18" ht="43.5" thickBot="1">
      <c r="A51" s="337"/>
      <c r="B51" s="381" t="s">
        <v>77</v>
      </c>
      <c r="C51" s="398" t="s">
        <v>78</v>
      </c>
      <c r="D51" s="407" t="s">
        <v>46</v>
      </c>
      <c r="E51" s="1142">
        <v>380.79</v>
      </c>
      <c r="F51" s="1142">
        <v>399.07599999999996</v>
      </c>
      <c r="G51" s="175">
        <v>418.75</v>
      </c>
      <c r="H51" s="188">
        <f>H52+H53</f>
        <v>158.80365579999997</v>
      </c>
      <c r="I51" s="177">
        <v>418.75</v>
      </c>
      <c r="J51" s="188">
        <v>422.9375</v>
      </c>
      <c r="K51" s="176">
        <v>418.75</v>
      </c>
      <c r="L51" s="176">
        <v>422.9375</v>
      </c>
      <c r="M51" s="177">
        <f>M52+M53</f>
        <v>300</v>
      </c>
      <c r="N51" s="179">
        <f aca="true" t="shared" si="2" ref="N51:N57">IF(M51=0,0,O51/M51*100)</f>
        <v>104.93999999999998</v>
      </c>
      <c r="O51" s="187">
        <f>O52+O53</f>
        <v>314.82</v>
      </c>
      <c r="P51" s="177">
        <f>P52+P53</f>
        <v>418.75</v>
      </c>
      <c r="Q51" s="185">
        <f>IF(P51=0,0,R51/P51*100)</f>
        <v>101</v>
      </c>
      <c r="R51" s="187">
        <f>R52+R53</f>
        <v>422.9375</v>
      </c>
    </row>
    <row r="52" spans="1:18" ht="30">
      <c r="A52" s="337"/>
      <c r="B52" s="400" t="s">
        <v>79</v>
      </c>
      <c r="C52" s="384" t="s">
        <v>80</v>
      </c>
      <c r="D52" s="402" t="s">
        <v>46</v>
      </c>
      <c r="E52" s="1137">
        <v>380.79</v>
      </c>
      <c r="F52" s="1137">
        <v>399.07599999999996</v>
      </c>
      <c r="G52" s="208">
        <v>418.75</v>
      </c>
      <c r="H52" s="209">
        <f>IF(Справочник!D1="да",'Тек.ремонты, факт'!E18,'Тек.ремонты, факт'!G18)</f>
        <v>158.80365579999997</v>
      </c>
      <c r="I52" s="182">
        <v>418.75</v>
      </c>
      <c r="J52" s="996">
        <v>422.9375</v>
      </c>
      <c r="K52" s="1117">
        <v>418.75</v>
      </c>
      <c r="L52" s="1117">
        <v>422.9375</v>
      </c>
      <c r="M52" s="781">
        <f>IF(Справочник!D1="да",'Тек.ремонты, план'!E16,'Тек.ремонты, план'!F16)</f>
        <v>300</v>
      </c>
      <c r="N52" s="1044">
        <f>IF(Титульный!B5="2016 - 2018",Индексы!$C$10,ROUND((1-'Расчет тарифов'!$M$183/100)*(100+'Расчет тарифов'!$M$185),2))</f>
        <v>104.94</v>
      </c>
      <c r="O52" s="184">
        <f>M52*N52/100</f>
        <v>314.82</v>
      </c>
      <c r="P52" s="182">
        <v>418.75</v>
      </c>
      <c r="Q52" s="1064">
        <v>101</v>
      </c>
      <c r="R52" s="184">
        <f>P52*Q52/100</f>
        <v>422.9375</v>
      </c>
    </row>
    <row r="53" spans="1:18" ht="21" customHeight="1" thickBot="1">
      <c r="A53" s="337"/>
      <c r="B53" s="378" t="s">
        <v>81</v>
      </c>
      <c r="C53" s="388" t="s">
        <v>82</v>
      </c>
      <c r="D53" s="412" t="s">
        <v>46</v>
      </c>
      <c r="E53" s="1145"/>
      <c r="F53" s="1145">
        <v>0</v>
      </c>
      <c r="G53" s="416"/>
      <c r="H53" s="397">
        <f>IF(Справочник!D1="да",'Тек.ремонты, факт'!H30,'Тек.ремонты, факт'!J30)</f>
        <v>0</v>
      </c>
      <c r="I53" s="181">
        <v>0</v>
      </c>
      <c r="J53" s="220">
        <v>0</v>
      </c>
      <c r="K53" s="1183">
        <v>0</v>
      </c>
      <c r="L53" s="1183">
        <v>0</v>
      </c>
      <c r="M53" s="783">
        <f>IF(Справочник!D1="да",'Тек.ремонты, план'!E35,'Тек.ремонты, план'!F35)</f>
        <v>0</v>
      </c>
      <c r="N53" s="1044">
        <f>IF(Титульный!B5="2016 - 2018",Индексы!$C$10,ROUND((1-'Расчет тарифов'!$M$183/100)*(100+'Расчет тарифов'!$M$185),2))</f>
        <v>104.94</v>
      </c>
      <c r="O53" s="183">
        <f>N53*M53/100</f>
        <v>0</v>
      </c>
      <c r="P53" s="181">
        <f>M53</f>
        <v>0</v>
      </c>
      <c r="Q53" s="1064">
        <v>106.4</v>
      </c>
      <c r="R53" s="183">
        <f>P53*Q53/100</f>
        <v>0</v>
      </c>
    </row>
    <row r="54" spans="1:18" ht="29.25" thickBot="1">
      <c r="A54" s="337"/>
      <c r="B54" s="381" t="s">
        <v>83</v>
      </c>
      <c r="C54" s="398" t="s">
        <v>84</v>
      </c>
      <c r="D54" s="413" t="s">
        <v>46</v>
      </c>
      <c r="E54" s="1146">
        <v>52.45</v>
      </c>
      <c r="F54" s="1146">
        <v>54.969120000000004</v>
      </c>
      <c r="G54" s="175">
        <v>30</v>
      </c>
      <c r="H54" s="188">
        <f>H55+H56</f>
        <v>51.80199999999999</v>
      </c>
      <c r="I54" s="177">
        <v>516.85</v>
      </c>
      <c r="J54" s="188">
        <v>522.0185</v>
      </c>
      <c r="K54" s="176">
        <v>516.85</v>
      </c>
      <c r="L54" s="176">
        <v>522.0185</v>
      </c>
      <c r="M54" s="177">
        <f>M55+M56</f>
        <v>460</v>
      </c>
      <c r="N54" s="179">
        <f t="shared" si="2"/>
        <v>104.93999999999998</v>
      </c>
      <c r="O54" s="187">
        <f>O55+O56</f>
        <v>482.724</v>
      </c>
      <c r="P54" s="177">
        <f>P55+P56</f>
        <v>516.85</v>
      </c>
      <c r="Q54" s="179">
        <f>IF(P54=0,0,R54/P54*100)</f>
        <v>101</v>
      </c>
      <c r="R54" s="187">
        <f>R55+R56</f>
        <v>522.0185</v>
      </c>
    </row>
    <row r="55" spans="1:18" ht="30">
      <c r="A55" s="337"/>
      <c r="B55" s="400" t="s">
        <v>85</v>
      </c>
      <c r="C55" s="384" t="s">
        <v>80</v>
      </c>
      <c r="D55" s="402" t="s">
        <v>46</v>
      </c>
      <c r="E55" s="1137">
        <v>52.45</v>
      </c>
      <c r="F55" s="1137">
        <v>54.969120000000004</v>
      </c>
      <c r="G55" s="208">
        <v>30</v>
      </c>
      <c r="H55" s="209">
        <f>IF(Справочник!D1="да",'Кап.ремонт, факт'!E16,'Кап.ремонт, факт'!G16)</f>
        <v>51.80199999999999</v>
      </c>
      <c r="I55" s="182">
        <v>516.85</v>
      </c>
      <c r="J55" s="996">
        <v>522.0185</v>
      </c>
      <c r="K55" s="1117">
        <v>516.85</v>
      </c>
      <c r="L55" s="1117">
        <v>522.0185</v>
      </c>
      <c r="M55" s="781">
        <f>IF(Справочник!D1="да",'Кап.ремонт, план'!E15,'Кап.ремонт, план'!F15)</f>
        <v>460</v>
      </c>
      <c r="N55" s="1044">
        <f>IF(Титульный!B5="2016 - 2018",Индексы!$C$10,ROUND((1-'Расчет тарифов'!$M$183/100)*(100+'Расчет тарифов'!$M$185),2))</f>
        <v>104.94</v>
      </c>
      <c r="O55" s="184">
        <f>M55*N55/100</f>
        <v>482.724</v>
      </c>
      <c r="P55" s="182">
        <v>516.85</v>
      </c>
      <c r="Q55" s="1064">
        <v>101</v>
      </c>
      <c r="R55" s="184">
        <f>P55*Q55/100</f>
        <v>522.0185</v>
      </c>
    </row>
    <row r="56" spans="1:18" ht="19.5" customHeight="1" thickBot="1">
      <c r="A56" s="337"/>
      <c r="B56" s="378" t="s">
        <v>86</v>
      </c>
      <c r="C56" s="388" t="s">
        <v>82</v>
      </c>
      <c r="D56" s="412" t="s">
        <v>46</v>
      </c>
      <c r="E56" s="1145"/>
      <c r="F56" s="1145">
        <v>0</v>
      </c>
      <c r="G56" s="416"/>
      <c r="H56" s="397">
        <f>IF(Справочник!D1="да",'Кап.ремонт, факт'!H28,'Кап.ремонт, факт'!J28)</f>
        <v>0</v>
      </c>
      <c r="I56" s="181">
        <v>0</v>
      </c>
      <c r="J56" s="220">
        <v>0</v>
      </c>
      <c r="K56" s="1183">
        <v>0</v>
      </c>
      <c r="L56" s="1183">
        <v>0</v>
      </c>
      <c r="M56" s="783">
        <f>IF(Справочник!D1="да",'Кап.ремонт, план'!E27,'Кап.ремонт, план'!F27)</f>
        <v>0</v>
      </c>
      <c r="N56" s="1044">
        <f>IF(Титульный!B5="2016 - 2018",Индексы!$C$10,ROUND((1-'Расчет тарифов'!$M$183/100)*(100+'Расчет тарифов'!$M$185),2))</f>
        <v>104.94</v>
      </c>
      <c r="O56" s="183">
        <f>N56*M56/100</f>
        <v>0</v>
      </c>
      <c r="P56" s="181">
        <f>M56</f>
        <v>0</v>
      </c>
      <c r="Q56" s="1064">
        <v>106.4</v>
      </c>
      <c r="R56" s="183">
        <f>P56*Q56/100</f>
        <v>0</v>
      </c>
    </row>
    <row r="57" spans="1:18" ht="29.25" thickBot="1">
      <c r="A57" s="337"/>
      <c r="B57" s="381" t="s">
        <v>87</v>
      </c>
      <c r="C57" s="398" t="s">
        <v>88</v>
      </c>
      <c r="D57" s="413" t="s">
        <v>46</v>
      </c>
      <c r="E57" s="1146">
        <v>86.02</v>
      </c>
      <c r="F57" s="1146">
        <v>91.53</v>
      </c>
      <c r="G57" s="175">
        <v>96</v>
      </c>
      <c r="H57" s="188">
        <f>SUM(H58:H61)</f>
        <v>96</v>
      </c>
      <c r="I57" s="177">
        <v>500</v>
      </c>
      <c r="J57" s="188">
        <v>500</v>
      </c>
      <c r="K57" s="176">
        <v>500</v>
      </c>
      <c r="L57" s="176">
        <v>500</v>
      </c>
      <c r="M57" s="177">
        <f>SUM(M58:M61)</f>
        <v>500</v>
      </c>
      <c r="N57" s="179">
        <f t="shared" si="2"/>
        <v>100</v>
      </c>
      <c r="O57" s="187">
        <f>SUM(O58:O61)</f>
        <v>500</v>
      </c>
      <c r="P57" s="177">
        <f>SUM(P58:P61)</f>
        <v>500</v>
      </c>
      <c r="Q57" s="179">
        <f>IF(P57=0,0,R57/P57*100)</f>
        <v>100</v>
      </c>
      <c r="R57" s="187">
        <f>SUM(R58:R61)</f>
        <v>500</v>
      </c>
    </row>
    <row r="58" spans="1:18" ht="15">
      <c r="A58" s="337"/>
      <c r="B58" s="417" t="s">
        <v>89</v>
      </c>
      <c r="C58" s="418" t="s">
        <v>90</v>
      </c>
      <c r="D58" s="402" t="s">
        <v>46</v>
      </c>
      <c r="E58" s="1137"/>
      <c r="F58" s="1137">
        <v>0</v>
      </c>
      <c r="G58" s="208"/>
      <c r="H58" s="209">
        <f>Аренда!L11</f>
        <v>0</v>
      </c>
      <c r="I58" s="182">
        <v>0</v>
      </c>
      <c r="J58" s="996">
        <v>0</v>
      </c>
      <c r="K58" s="1117">
        <v>0</v>
      </c>
      <c r="L58" s="1117">
        <v>0</v>
      </c>
      <c r="M58" s="781">
        <f>Аренда!T11</f>
        <v>0</v>
      </c>
      <c r="N58" s="180">
        <v>100</v>
      </c>
      <c r="O58" s="184">
        <f>Аренда!T11</f>
        <v>0</v>
      </c>
      <c r="P58" s="217">
        <f>M58</f>
        <v>0</v>
      </c>
      <c r="Q58" s="180">
        <v>100</v>
      </c>
      <c r="R58" s="184">
        <f>P58</f>
        <v>0</v>
      </c>
    </row>
    <row r="59" spans="1:18" ht="30">
      <c r="A59" s="337"/>
      <c r="B59" s="419" t="s">
        <v>91</v>
      </c>
      <c r="C59" s="420" t="s">
        <v>315</v>
      </c>
      <c r="D59" s="404" t="s">
        <v>46</v>
      </c>
      <c r="E59" s="1137"/>
      <c r="F59" s="1137">
        <v>0</v>
      </c>
      <c r="G59" s="208"/>
      <c r="H59" s="209">
        <f>Аренда!L17+Аренда!L23</f>
        <v>0</v>
      </c>
      <c r="I59" s="182">
        <v>0</v>
      </c>
      <c r="J59" s="996">
        <v>0</v>
      </c>
      <c r="K59" s="1117">
        <v>0</v>
      </c>
      <c r="L59" s="1117">
        <v>0</v>
      </c>
      <c r="M59" s="781">
        <f>Аренда!T17+Аренда!T23</f>
        <v>0</v>
      </c>
      <c r="N59" s="180">
        <v>100</v>
      </c>
      <c r="O59" s="184">
        <f>Аренда!T17+Аренда!T23</f>
        <v>0</v>
      </c>
      <c r="P59" s="217">
        <f>M59</f>
        <v>0</v>
      </c>
      <c r="Q59" s="180">
        <v>100</v>
      </c>
      <c r="R59" s="184">
        <f>P59</f>
        <v>0</v>
      </c>
    </row>
    <row r="60" spans="1:18" ht="15">
      <c r="A60" s="337"/>
      <c r="B60" s="419" t="s">
        <v>92</v>
      </c>
      <c r="C60" s="420" t="s">
        <v>93</v>
      </c>
      <c r="D60" s="404" t="s">
        <v>46</v>
      </c>
      <c r="E60" s="1137">
        <v>86.02</v>
      </c>
      <c r="F60" s="1137">
        <v>91.53</v>
      </c>
      <c r="G60" s="208">
        <v>96</v>
      </c>
      <c r="H60" s="209">
        <f>Аренда!L29</f>
        <v>96</v>
      </c>
      <c r="I60" s="182">
        <v>500</v>
      </c>
      <c r="J60" s="996">
        <v>500</v>
      </c>
      <c r="K60" s="1117">
        <v>500</v>
      </c>
      <c r="L60" s="1117">
        <v>500</v>
      </c>
      <c r="M60" s="781">
        <f>Аренда!T29</f>
        <v>500</v>
      </c>
      <c r="N60" s="180">
        <v>100</v>
      </c>
      <c r="O60" s="184">
        <f>Аренда!T29</f>
        <v>500</v>
      </c>
      <c r="P60" s="217">
        <v>500</v>
      </c>
      <c r="Q60" s="180">
        <v>100</v>
      </c>
      <c r="R60" s="184">
        <f>P60</f>
        <v>500</v>
      </c>
    </row>
    <row r="61" spans="1:18" ht="22.5" customHeight="1" thickBot="1">
      <c r="A61" s="337"/>
      <c r="B61" s="421" t="s">
        <v>94</v>
      </c>
      <c r="C61" s="422" t="s">
        <v>95</v>
      </c>
      <c r="D61" s="412" t="s">
        <v>46</v>
      </c>
      <c r="E61" s="1149"/>
      <c r="F61" s="1149">
        <v>0</v>
      </c>
      <c r="G61" s="208"/>
      <c r="H61" s="209">
        <f>Аренда!L35</f>
        <v>0</v>
      </c>
      <c r="I61" s="182">
        <v>0</v>
      </c>
      <c r="J61" s="996">
        <v>0</v>
      </c>
      <c r="K61" s="1117">
        <v>0</v>
      </c>
      <c r="L61" s="1117">
        <v>0</v>
      </c>
      <c r="M61" s="781">
        <f>Аренда!T35</f>
        <v>0</v>
      </c>
      <c r="N61" s="180">
        <v>100</v>
      </c>
      <c r="O61" s="184">
        <f>Аренда!T35</f>
        <v>0</v>
      </c>
      <c r="P61" s="217">
        <f>M61</f>
        <v>0</v>
      </c>
      <c r="Q61" s="180">
        <v>100</v>
      </c>
      <c r="R61" s="184">
        <f>P61</f>
        <v>0</v>
      </c>
    </row>
    <row r="62" spans="1:18" ht="34.5" customHeight="1" thickBot="1">
      <c r="A62" s="337"/>
      <c r="B62" s="381" t="s">
        <v>96</v>
      </c>
      <c r="C62" s="398" t="s">
        <v>321</v>
      </c>
      <c r="D62" s="413" t="s">
        <v>46</v>
      </c>
      <c r="E62" s="1146">
        <v>0</v>
      </c>
      <c r="F62" s="1146">
        <v>0</v>
      </c>
      <c r="G62" s="175">
        <v>0</v>
      </c>
      <c r="H62" s="188">
        <f>H63+H65+H66+H68</f>
        <v>0</v>
      </c>
      <c r="I62" s="177">
        <v>0</v>
      </c>
      <c r="J62" s="188">
        <v>0</v>
      </c>
      <c r="K62" s="176">
        <v>0</v>
      </c>
      <c r="L62" s="176">
        <v>0</v>
      </c>
      <c r="M62" s="177">
        <f>M63+M65+M66+M68</f>
        <v>0</v>
      </c>
      <c r="N62" s="179">
        <f>IF(M62=0,0,O62/M62*100)</f>
        <v>0</v>
      </c>
      <c r="O62" s="187">
        <f>O63+O65+O66+O68</f>
        <v>0</v>
      </c>
      <c r="P62" s="177" t="e">
        <f>P63+P65+P66+P68</f>
        <v>#REF!</v>
      </c>
      <c r="Q62" s="179" t="e">
        <f>IF(P62=0,0,R62/P62*100)</f>
        <v>#REF!</v>
      </c>
      <c r="R62" s="187" t="e">
        <f>R63+R65+R66+R68</f>
        <v>#REF!</v>
      </c>
    </row>
    <row r="63" spans="1:18" ht="13.5" customHeight="1" hidden="1">
      <c r="A63" s="337"/>
      <c r="B63" s="408" t="s">
        <v>97</v>
      </c>
      <c r="C63" s="409" t="s">
        <v>98</v>
      </c>
      <c r="D63" s="410" t="s">
        <v>46</v>
      </c>
      <c r="E63" s="1143">
        <v>0</v>
      </c>
      <c r="F63" s="1143">
        <v>0</v>
      </c>
      <c r="G63" s="208">
        <v>0</v>
      </c>
      <c r="H63" s="209">
        <f>H42*H64*H15/1000</f>
        <v>0</v>
      </c>
      <c r="I63" s="212">
        <v>0</v>
      </c>
      <c r="J63" s="264">
        <v>0</v>
      </c>
      <c r="K63" s="1118">
        <v>0</v>
      </c>
      <c r="L63" s="1118">
        <v>0</v>
      </c>
      <c r="M63" s="210">
        <f>M42*M64*12/1000</f>
        <v>0</v>
      </c>
      <c r="N63" s="180">
        <f>IF(M63=0,0,O63/M63*100)</f>
        <v>0</v>
      </c>
      <c r="O63" s="211">
        <f>O42*O64*12/1000</f>
        <v>0</v>
      </c>
      <c r="P63" s="212">
        <f>P42*P64*12/1000</f>
        <v>0</v>
      </c>
      <c r="Q63" s="213">
        <f>IF(P63=0,0,R63/P63*100)</f>
        <v>0</v>
      </c>
      <c r="R63" s="214">
        <f>R42*R64*12/1000</f>
        <v>0</v>
      </c>
    </row>
    <row r="64" spans="1:18" ht="18.75" customHeight="1" hidden="1">
      <c r="A64" s="337"/>
      <c r="B64" s="331" t="s">
        <v>99</v>
      </c>
      <c r="C64" s="411" t="s">
        <v>100</v>
      </c>
      <c r="D64" s="404" t="s">
        <v>50</v>
      </c>
      <c r="E64" s="1144"/>
      <c r="F64" s="1144">
        <v>0</v>
      </c>
      <c r="G64" s="199"/>
      <c r="H64" s="265">
        <f>Численность!I21</f>
        <v>0</v>
      </c>
      <c r="I64" s="200">
        <v>0</v>
      </c>
      <c r="J64" s="265">
        <v>0</v>
      </c>
      <c r="K64" s="218">
        <v>0</v>
      </c>
      <c r="L64" s="218">
        <v>0</v>
      </c>
      <c r="M64" s="780">
        <f>Численность!O21</f>
        <v>0</v>
      </c>
      <c r="N64" s="1046">
        <f>IF(Титульный!B5="2016 - 2018",Индексы!$C$9,ROUND((1-'Расчет тарифов'!$M$183/100)*(100+'Расчет тарифов'!$M$185),2))</f>
        <v>104.94</v>
      </c>
      <c r="O64" s="161">
        <f>M64*N64/100</f>
        <v>0</v>
      </c>
      <c r="P64" s="181">
        <f>M64</f>
        <v>0</v>
      </c>
      <c r="Q64" s="1045">
        <f>IF(Титульный!$B$5="2016 - 2018",Индексы!#REF!,ROUND((1-'Расчет тарифов'!$P$183/100)*(100+$P$185),2))</f>
        <v>105.34</v>
      </c>
      <c r="R64" s="183">
        <f>P64*Q64/100</f>
        <v>0</v>
      </c>
    </row>
    <row r="65" spans="1:18" ht="18.75" customHeight="1" hidden="1">
      <c r="A65" s="337"/>
      <c r="B65" s="331" t="s">
        <v>101</v>
      </c>
      <c r="C65" s="386" t="s">
        <v>102</v>
      </c>
      <c r="D65" s="404" t="s">
        <v>46</v>
      </c>
      <c r="E65" s="1144">
        <v>0</v>
      </c>
      <c r="F65" s="1144">
        <v>0</v>
      </c>
      <c r="G65" s="199">
        <v>0</v>
      </c>
      <c r="H65" s="218">
        <f>'Цех. (произв.) расходы '!E13</f>
        <v>0</v>
      </c>
      <c r="I65" s="200">
        <v>0</v>
      </c>
      <c r="J65" s="265">
        <v>0</v>
      </c>
      <c r="K65" s="218">
        <v>0</v>
      </c>
      <c r="L65" s="218">
        <v>0</v>
      </c>
      <c r="M65" s="197">
        <f>M63*M$46/100</f>
        <v>0</v>
      </c>
      <c r="N65" s="189"/>
      <c r="O65" s="193">
        <f>O63*O$46/100</f>
        <v>0</v>
      </c>
      <c r="P65" s="197">
        <f>P63*P$46/100</f>
        <v>0</v>
      </c>
      <c r="Q65" s="189"/>
      <c r="R65" s="193">
        <f>R63*R$46/100</f>
        <v>0</v>
      </c>
    </row>
    <row r="66" spans="1:18" ht="13.5" customHeight="1" hidden="1">
      <c r="A66" s="337"/>
      <c r="B66" s="331" t="s">
        <v>103</v>
      </c>
      <c r="C66" s="386" t="s">
        <v>104</v>
      </c>
      <c r="D66" s="404" t="s">
        <v>46</v>
      </c>
      <c r="E66" s="1144">
        <v>0</v>
      </c>
      <c r="F66" s="1144">
        <v>0</v>
      </c>
      <c r="G66" s="199">
        <v>0</v>
      </c>
      <c r="H66" s="218">
        <f>H$35*H67</f>
        <v>0</v>
      </c>
      <c r="I66" s="200">
        <v>0</v>
      </c>
      <c r="J66" s="218">
        <v>0</v>
      </c>
      <c r="K66" s="218">
        <v>0</v>
      </c>
      <c r="L66" s="218">
        <v>0</v>
      </c>
      <c r="M66" s="200">
        <f>M$35*M67</f>
        <v>0</v>
      </c>
      <c r="N66" s="189"/>
      <c r="O66" s="423">
        <f>O$35*O67</f>
        <v>0</v>
      </c>
      <c r="P66" s="200" t="e">
        <f>P$35*P67</f>
        <v>#REF!</v>
      </c>
      <c r="Q66" s="199"/>
      <c r="R66" s="423" t="e">
        <f>R$35*R67</f>
        <v>#REF!</v>
      </c>
    </row>
    <row r="67" spans="1:18" ht="13.5" customHeight="1" hidden="1">
      <c r="A67" s="337"/>
      <c r="B67" s="331" t="s">
        <v>105</v>
      </c>
      <c r="C67" s="411" t="s">
        <v>104</v>
      </c>
      <c r="D67" s="404" t="s">
        <v>719</v>
      </c>
      <c r="E67" s="1144"/>
      <c r="F67" s="1144">
        <v>0</v>
      </c>
      <c r="G67" s="199"/>
      <c r="H67" s="265">
        <f>'Расходы ЭЭ'!G18/1000</f>
        <v>0</v>
      </c>
      <c r="I67" s="200">
        <v>0</v>
      </c>
      <c r="J67" s="265">
        <v>0</v>
      </c>
      <c r="K67" s="218">
        <v>0</v>
      </c>
      <c r="L67" s="218">
        <v>0</v>
      </c>
      <c r="M67" s="782">
        <f>'Расходы ЭЭ'!K18/1000</f>
        <v>0</v>
      </c>
      <c r="N67" s="189">
        <f>IF(M67=0,0,O67/M67*100)</f>
        <v>0</v>
      </c>
      <c r="O67" s="193">
        <f>M67</f>
        <v>0</v>
      </c>
      <c r="P67" s="200">
        <f>M67</f>
        <v>0</v>
      </c>
      <c r="Q67" s="189">
        <f>IF(P67=0,0,R67/P67*100)</f>
        <v>0</v>
      </c>
      <c r="R67" s="193">
        <f>O67</f>
        <v>0</v>
      </c>
    </row>
    <row r="68" spans="1:18" ht="20.25" customHeight="1" hidden="1" thickBot="1">
      <c r="A68" s="337"/>
      <c r="B68" s="378" t="s">
        <v>107</v>
      </c>
      <c r="C68" s="388" t="s">
        <v>108</v>
      </c>
      <c r="D68" s="412" t="s">
        <v>46</v>
      </c>
      <c r="E68" s="1145">
        <v>0</v>
      </c>
      <c r="F68" s="1145">
        <v>0</v>
      </c>
      <c r="G68" s="416">
        <v>0</v>
      </c>
      <c r="H68" s="397">
        <f>'Цех. (произв.) расходы '!E17</f>
        <v>0</v>
      </c>
      <c r="I68" s="202">
        <v>0</v>
      </c>
      <c r="J68" s="266">
        <v>0</v>
      </c>
      <c r="K68" s="1116">
        <v>0</v>
      </c>
      <c r="L68" s="1116">
        <v>0</v>
      </c>
      <c r="M68" s="783">
        <f>'Цех. (произв.) расходы '!H17</f>
        <v>0</v>
      </c>
      <c r="N68" s="1046">
        <f>IF(Титульный!B9="2016 - 2018",Индексы!$C$9,ROUND((1-'Расчет тарифов'!$M$183/100)*(100+'Расчет тарифов'!$M$185),2))</f>
        <v>104.94</v>
      </c>
      <c r="O68" s="161">
        <f>M68*N68/100</f>
        <v>0</v>
      </c>
      <c r="P68" s="198">
        <f>M68</f>
        <v>0</v>
      </c>
      <c r="Q68" s="1048">
        <f>IF(Титульный!$B$5="2016 - 2018",Индексы!#REF!,ROUND((1-'Расчет тарифов'!$P$183/100)*(100+$P$185),2))</f>
        <v>105.34</v>
      </c>
      <c r="R68" s="194">
        <f>P68*Q68/100</f>
        <v>0</v>
      </c>
    </row>
    <row r="69" spans="1:18" ht="43.5" customHeight="1" thickBot="1">
      <c r="A69" s="337"/>
      <c r="B69" s="381" t="s">
        <v>109</v>
      </c>
      <c r="C69" s="398" t="s">
        <v>320</v>
      </c>
      <c r="D69" s="413" t="s">
        <v>46</v>
      </c>
      <c r="E69" s="1146">
        <v>94.62</v>
      </c>
      <c r="F69" s="1146">
        <v>99.15878368424826</v>
      </c>
      <c r="G69" s="175">
        <v>99.16</v>
      </c>
      <c r="H69" s="188">
        <f>H70+H72+H73+H75</f>
        <v>99.16</v>
      </c>
      <c r="I69" s="177">
        <v>142.97</v>
      </c>
      <c r="J69" s="188">
        <v>142.97</v>
      </c>
      <c r="K69" s="176">
        <v>142.97</v>
      </c>
      <c r="L69" s="176">
        <v>142.97</v>
      </c>
      <c r="M69" s="177">
        <f>M70+M72+M73+M75</f>
        <v>142.97</v>
      </c>
      <c r="N69" s="179">
        <f>IF(M69=0,0,O69/M69*100)</f>
        <v>104.94000000000001</v>
      </c>
      <c r="O69" s="219">
        <f>O70+O72+O73+O75</f>
        <v>150.03271800000002</v>
      </c>
      <c r="P69" s="177" t="e">
        <f>P70+P72+P73+P75</f>
        <v>#REF!</v>
      </c>
      <c r="Q69" s="179" t="e">
        <f>IF(P69=0,0,R69/P69*100)</f>
        <v>#REF!</v>
      </c>
      <c r="R69" s="219" t="e">
        <f>R70+R72+R73+R75</f>
        <v>#REF!</v>
      </c>
    </row>
    <row r="70" spans="1:18" ht="15.75" customHeight="1" hidden="1">
      <c r="A70" s="337"/>
      <c r="B70" s="408" t="s">
        <v>110</v>
      </c>
      <c r="C70" s="409" t="s">
        <v>111</v>
      </c>
      <c r="D70" s="410" t="s">
        <v>46</v>
      </c>
      <c r="E70" s="1143">
        <v>0</v>
      </c>
      <c r="F70" s="1143">
        <v>0</v>
      </c>
      <c r="G70" s="208">
        <v>0</v>
      </c>
      <c r="H70" s="209">
        <f>H43*H71*$H$15/1000</f>
        <v>0</v>
      </c>
      <c r="I70" s="212">
        <v>0</v>
      </c>
      <c r="J70" s="264">
        <v>0</v>
      </c>
      <c r="K70" s="1120">
        <v>0</v>
      </c>
      <c r="L70" s="1120">
        <v>0</v>
      </c>
      <c r="M70" s="212">
        <f>M43*M71*12/1000</f>
        <v>0</v>
      </c>
      <c r="N70" s="213">
        <f>IF(M70=0,0,O70/M70*100)</f>
        <v>0</v>
      </c>
      <c r="O70" s="214">
        <f>O43*O71*12/1000</f>
        <v>0</v>
      </c>
      <c r="P70" s="212">
        <f>P43*P71*12/1000</f>
        <v>0</v>
      </c>
      <c r="Q70" s="213">
        <f>IF(P70=0,0,R70/P70*100)</f>
        <v>0</v>
      </c>
      <c r="R70" s="214">
        <f>R43*R71*12/1000</f>
        <v>0</v>
      </c>
    </row>
    <row r="71" spans="1:18" ht="19.5" customHeight="1" hidden="1">
      <c r="A71" s="337"/>
      <c r="B71" s="331" t="s">
        <v>112</v>
      </c>
      <c r="C71" s="411" t="s">
        <v>113</v>
      </c>
      <c r="D71" s="404" t="s">
        <v>50</v>
      </c>
      <c r="E71" s="1144"/>
      <c r="F71" s="1144">
        <v>0</v>
      </c>
      <c r="G71" s="199"/>
      <c r="H71" s="265">
        <f>Численность!I26</f>
        <v>0</v>
      </c>
      <c r="I71" s="200">
        <v>0</v>
      </c>
      <c r="J71" s="265">
        <v>0</v>
      </c>
      <c r="K71" s="218">
        <v>0</v>
      </c>
      <c r="L71" s="218">
        <v>0</v>
      </c>
      <c r="M71" s="804">
        <f>Численность!O26</f>
        <v>0</v>
      </c>
      <c r="N71" s="1046">
        <f>IF(Титульный!B5="2016 - 2018",Индексы!$C$9,ROUND((1-'Расчет тарифов'!$M$183/100)*(100+'Расчет тарифов'!$M$185),2))</f>
        <v>104.94</v>
      </c>
      <c r="O71" s="193">
        <f>M71*N71/100</f>
        <v>0</v>
      </c>
      <c r="P71" s="181">
        <f>M71</f>
        <v>0</v>
      </c>
      <c r="Q71" s="1045">
        <f>IF(Титульный!$B$5="2016 - 2018",Индексы!#REF!,ROUND((1-'Расчет тарифов'!$P$183/100)*(100+$P$185),2))</f>
        <v>105.34</v>
      </c>
      <c r="R71" s="183">
        <f>P71*Q71/100</f>
        <v>0</v>
      </c>
    </row>
    <row r="72" spans="1:18" ht="18" customHeight="1" hidden="1">
      <c r="A72" s="337"/>
      <c r="B72" s="331" t="s">
        <v>114</v>
      </c>
      <c r="C72" s="386" t="s">
        <v>115</v>
      </c>
      <c r="D72" s="404" t="s">
        <v>46</v>
      </c>
      <c r="E72" s="1144">
        <v>0</v>
      </c>
      <c r="F72" s="1144">
        <v>0</v>
      </c>
      <c r="G72" s="199">
        <v>0</v>
      </c>
      <c r="H72" s="218">
        <f>'Адм. расходы'!E13</f>
        <v>0</v>
      </c>
      <c r="I72" s="200">
        <v>0</v>
      </c>
      <c r="J72" s="265">
        <v>0</v>
      </c>
      <c r="K72" s="218">
        <v>0</v>
      </c>
      <c r="L72" s="218">
        <v>0</v>
      </c>
      <c r="M72" s="197">
        <f>M70*M$46/100</f>
        <v>0</v>
      </c>
      <c r="N72" s="189"/>
      <c r="O72" s="193">
        <f>O70*O$46/100</f>
        <v>0</v>
      </c>
      <c r="P72" s="197">
        <f>P70*P$46/100</f>
        <v>0</v>
      </c>
      <c r="Q72" s="189"/>
      <c r="R72" s="193">
        <f>R70*R$46/100</f>
        <v>0</v>
      </c>
    </row>
    <row r="73" spans="1:18" ht="15.75" customHeight="1" hidden="1">
      <c r="A73" s="337"/>
      <c r="B73" s="331" t="s">
        <v>116</v>
      </c>
      <c r="C73" s="386" t="s">
        <v>104</v>
      </c>
      <c r="D73" s="404" t="s">
        <v>46</v>
      </c>
      <c r="E73" s="1144">
        <v>0</v>
      </c>
      <c r="F73" s="1144">
        <v>0.5587836842482625</v>
      </c>
      <c r="G73" s="199">
        <v>0</v>
      </c>
      <c r="H73" s="218">
        <f>H$35*H74</f>
        <v>0</v>
      </c>
      <c r="I73" s="200">
        <v>0</v>
      </c>
      <c r="J73" s="218">
        <v>0</v>
      </c>
      <c r="K73" s="218">
        <v>0</v>
      </c>
      <c r="L73" s="218">
        <v>0</v>
      </c>
      <c r="M73" s="200">
        <f>M$35*M74</f>
        <v>0</v>
      </c>
      <c r="N73" s="189"/>
      <c r="O73" s="423">
        <f>O$35*O74</f>
        <v>0</v>
      </c>
      <c r="P73" s="200" t="e">
        <f>P$35*P74</f>
        <v>#REF!</v>
      </c>
      <c r="Q73" s="199"/>
      <c r="R73" s="423" t="e">
        <f>R$35*R74</f>
        <v>#REF!</v>
      </c>
    </row>
    <row r="74" spans="1:18" ht="18.75" customHeight="1" hidden="1">
      <c r="A74" s="337"/>
      <c r="B74" s="331" t="s">
        <v>117</v>
      </c>
      <c r="C74" s="411" t="s">
        <v>104</v>
      </c>
      <c r="D74" s="404" t="s">
        <v>106</v>
      </c>
      <c r="E74" s="1144"/>
      <c r="F74" s="1144">
        <v>0.1904</v>
      </c>
      <c r="G74" s="199"/>
      <c r="H74" s="265">
        <f>'Расходы ЭЭ'!G24/1000</f>
        <v>0</v>
      </c>
      <c r="I74" s="200">
        <v>0</v>
      </c>
      <c r="J74" s="265">
        <v>0</v>
      </c>
      <c r="K74" s="218">
        <v>0</v>
      </c>
      <c r="L74" s="218">
        <v>0</v>
      </c>
      <c r="M74" s="782">
        <f>'Расходы ЭЭ'!K24/1000</f>
        <v>0</v>
      </c>
      <c r="N74" s="189">
        <f aca="true" t="shared" si="3" ref="N74:N107">IF(M74=0,0,O74/M74*100)</f>
        <v>0</v>
      </c>
      <c r="O74" s="193">
        <f>M74</f>
        <v>0</v>
      </c>
      <c r="P74" s="172">
        <v>0</v>
      </c>
      <c r="Q74" s="189">
        <f>IF(P74=0,0,R74/P74*100)</f>
        <v>0</v>
      </c>
      <c r="R74" s="193">
        <f>P74</f>
        <v>0</v>
      </c>
    </row>
    <row r="75" spans="1:18" ht="28.5" customHeight="1" thickBot="1">
      <c r="A75" s="337"/>
      <c r="B75" s="378" t="s">
        <v>118</v>
      </c>
      <c r="C75" s="388" t="s">
        <v>119</v>
      </c>
      <c r="D75" s="412" t="s">
        <v>46</v>
      </c>
      <c r="E75" s="1145">
        <v>94.62</v>
      </c>
      <c r="F75" s="1145">
        <v>98.6</v>
      </c>
      <c r="G75" s="199">
        <v>99.16</v>
      </c>
      <c r="H75" s="265">
        <v>99.16</v>
      </c>
      <c r="I75" s="200">
        <v>142.97</v>
      </c>
      <c r="J75" s="265">
        <v>142.97</v>
      </c>
      <c r="K75" s="218">
        <v>142.97</v>
      </c>
      <c r="L75" s="218">
        <v>142.97</v>
      </c>
      <c r="M75" s="780">
        <f>'Адм. расходы'!H17</f>
        <v>142.97</v>
      </c>
      <c r="N75" s="1046">
        <f>IF(Титульный!B16="2016 - 2018",Индексы!$C$9,ROUND((1-'Расчет тарифов'!$M$183/100)*(100+'Расчет тарифов'!$M$185),2))</f>
        <v>104.94</v>
      </c>
      <c r="O75" s="161">
        <f>M75*N75/100</f>
        <v>150.03271800000002</v>
      </c>
      <c r="P75" s="119">
        <v>142.97</v>
      </c>
      <c r="Q75" s="1048">
        <v>100</v>
      </c>
      <c r="R75" s="161">
        <f>P75*Q75/100</f>
        <v>142.97</v>
      </c>
    </row>
    <row r="76" spans="1:18" ht="43.5" thickBot="1">
      <c r="A76" s="337"/>
      <c r="B76" s="381" t="s">
        <v>120</v>
      </c>
      <c r="C76" s="398" t="s">
        <v>314</v>
      </c>
      <c r="D76" s="413" t="s">
        <v>46</v>
      </c>
      <c r="E76" s="1146">
        <v>0</v>
      </c>
      <c r="F76" s="1146">
        <v>0</v>
      </c>
      <c r="G76" s="175">
        <v>0</v>
      </c>
      <c r="H76" s="188">
        <f>H77+H109+H120</f>
        <v>0</v>
      </c>
      <c r="I76" s="177">
        <v>0</v>
      </c>
      <c r="J76" s="188">
        <v>0</v>
      </c>
      <c r="K76" s="176">
        <v>0</v>
      </c>
      <c r="L76" s="176">
        <v>0</v>
      </c>
      <c r="M76" s="177">
        <f>M77+M109+M120</f>
        <v>0</v>
      </c>
      <c r="N76" s="157">
        <f t="shared" si="3"/>
        <v>0</v>
      </c>
      <c r="O76" s="187">
        <f>O77+O109+O120</f>
        <v>0</v>
      </c>
      <c r="P76" s="177">
        <f>P77+P109+P120</f>
        <v>0</v>
      </c>
      <c r="Q76" s="157">
        <f>IF(P76=0,0,R76/P76*100)</f>
        <v>0</v>
      </c>
      <c r="R76" s="187">
        <f>R77+R109+R120</f>
        <v>0</v>
      </c>
    </row>
    <row r="77" spans="1:18" s="433" customFormat="1" ht="13.5" customHeight="1" hidden="1">
      <c r="A77" s="424"/>
      <c r="B77" s="425" t="s">
        <v>121</v>
      </c>
      <c r="C77" s="426" t="s">
        <v>122</v>
      </c>
      <c r="D77" s="427"/>
      <c r="E77" s="1150">
        <v>0</v>
      </c>
      <c r="F77" s="1150">
        <v>0</v>
      </c>
      <c r="G77" s="428">
        <v>0</v>
      </c>
      <c r="H77" s="429">
        <f>SUM(H78,H81,H84,H87,H90,H93,H96,H99,H102,H105)</f>
        <v>0</v>
      </c>
      <c r="I77" s="430">
        <v>0</v>
      </c>
      <c r="J77" s="429">
        <v>0</v>
      </c>
      <c r="K77" s="1121">
        <v>0</v>
      </c>
      <c r="L77" s="1121">
        <v>0</v>
      </c>
      <c r="M77" s="430">
        <f>SUM(M78,M81,M84,M87,M90,M93,M96,M99,M102,M105)</f>
        <v>0</v>
      </c>
      <c r="N77" s="431">
        <f t="shared" si="3"/>
        <v>0</v>
      </c>
      <c r="O77" s="432">
        <f>SUM(O78,O81,O84,O87,O90,O93,O96,O99,O102,O105)</f>
        <v>0</v>
      </c>
      <c r="P77" s="430">
        <f>SUM(P78,P81,P84,P87,P90,P93,P96,P99,P102,P105)</f>
        <v>0</v>
      </c>
      <c r="Q77" s="431">
        <f>IF(P77=0,0,R77/P77*100)</f>
        <v>0</v>
      </c>
      <c r="R77" s="432">
        <f>SUM(R78,R81,R84,R87,R90,R93,R96,R99,R102,R105)</f>
        <v>0</v>
      </c>
    </row>
    <row r="78" spans="1:18" ht="13.5" customHeight="1" hidden="1">
      <c r="A78" s="380"/>
      <c r="B78" s="1555" t="s">
        <v>123</v>
      </c>
      <c r="C78" s="874">
        <f>'Покупная продукция'!B13</f>
        <v>0</v>
      </c>
      <c r="D78" s="404"/>
      <c r="E78" s="1144">
        <v>0</v>
      </c>
      <c r="F78" s="1144">
        <v>0</v>
      </c>
      <c r="G78" s="1168">
        <v>0</v>
      </c>
      <c r="H78" s="435">
        <f>H79*H80</f>
        <v>0</v>
      </c>
      <c r="I78" s="1094">
        <v>0</v>
      </c>
      <c r="J78" s="1095">
        <v>0</v>
      </c>
      <c r="K78" s="1185">
        <v>0</v>
      </c>
      <c r="L78" s="1185">
        <v>0</v>
      </c>
      <c r="M78" s="436">
        <f>M79*M80</f>
        <v>0</v>
      </c>
      <c r="N78" s="437">
        <f t="shared" si="3"/>
        <v>0</v>
      </c>
      <c r="O78" s="438">
        <f>O79*O80</f>
        <v>0</v>
      </c>
      <c r="P78" s="436">
        <f>P79*P80</f>
        <v>0</v>
      </c>
      <c r="Q78" s="437">
        <f>IF(P78=0,0,R78/P78*100)</f>
        <v>0</v>
      </c>
      <c r="R78" s="438">
        <f>R79*R80</f>
        <v>0</v>
      </c>
    </row>
    <row r="79" spans="1:18" ht="13.5" customHeight="1" hidden="1">
      <c r="A79" s="380"/>
      <c r="B79" s="1555"/>
      <c r="C79" s="439" t="s">
        <v>124</v>
      </c>
      <c r="D79" s="440" t="s">
        <v>16</v>
      </c>
      <c r="E79" s="374">
        <v>0</v>
      </c>
      <c r="F79" s="374">
        <v>0</v>
      </c>
      <c r="G79" s="782">
        <v>0</v>
      </c>
      <c r="H79" s="872">
        <f>'Покупная продукция'!O13</f>
        <v>0</v>
      </c>
      <c r="I79" s="782">
        <v>0</v>
      </c>
      <c r="J79" s="265">
        <v>0</v>
      </c>
      <c r="K79" s="218">
        <v>0</v>
      </c>
      <c r="L79" s="218">
        <v>0</v>
      </c>
      <c r="M79" s="780">
        <f>'Покупная продукция'!W13</f>
        <v>0</v>
      </c>
      <c r="N79" s="69">
        <f t="shared" si="3"/>
        <v>0</v>
      </c>
      <c r="O79" s="193">
        <f>M79</f>
        <v>0</v>
      </c>
      <c r="P79" s="197">
        <f>M79</f>
        <v>0</v>
      </c>
      <c r="Q79" s="69">
        <f>IF(P79=0,0,R79/P79*100)</f>
        <v>0</v>
      </c>
      <c r="R79" s="193">
        <f>P79</f>
        <v>0</v>
      </c>
    </row>
    <row r="80" spans="1:18" ht="13.5" customHeight="1" hidden="1">
      <c r="A80" s="380"/>
      <c r="B80" s="1555"/>
      <c r="C80" s="439" t="s">
        <v>125</v>
      </c>
      <c r="D80" s="404" t="s">
        <v>126</v>
      </c>
      <c r="E80" s="463">
        <v>0</v>
      </c>
      <c r="F80" s="463">
        <v>0</v>
      </c>
      <c r="G80" s="782">
        <v>0</v>
      </c>
      <c r="H80" s="873">
        <f>IF('Покупная продукция'!P13=0,0,'Покупная продукция'!P13/'Покупная продукция'!O13)</f>
        <v>0</v>
      </c>
      <c r="I80" s="782">
        <v>0</v>
      </c>
      <c r="J80" s="873">
        <v>0</v>
      </c>
      <c r="K80" s="1122">
        <v>0</v>
      </c>
      <c r="L80" s="1122">
        <v>0</v>
      </c>
      <c r="M80" s="780">
        <f>'Покупная продукция'!X13</f>
        <v>0</v>
      </c>
      <c r="N80" s="1044">
        <f t="shared" si="3"/>
        <v>0</v>
      </c>
      <c r="O80" s="786">
        <f>'Покупная продукция'!AA13</f>
        <v>0</v>
      </c>
      <c r="P80" s="119">
        <f>M80</f>
        <v>0</v>
      </c>
      <c r="Q80" s="511">
        <v>100</v>
      </c>
      <c r="R80" s="161">
        <f>P80*Q80/100</f>
        <v>0</v>
      </c>
    </row>
    <row r="81" spans="1:18" ht="13.5" customHeight="1" hidden="1">
      <c r="A81" s="380"/>
      <c r="B81" s="1555" t="s">
        <v>127</v>
      </c>
      <c r="C81" s="875">
        <f>'Покупная продукция'!B14</f>
        <v>0</v>
      </c>
      <c r="D81" s="404"/>
      <c r="E81" s="1144">
        <v>0</v>
      </c>
      <c r="F81" s="1144">
        <v>0</v>
      </c>
      <c r="G81" s="1168">
        <v>0</v>
      </c>
      <c r="H81" s="435">
        <f>H82*H83</f>
        <v>0</v>
      </c>
      <c r="I81" s="1094">
        <v>0</v>
      </c>
      <c r="J81" s="1095">
        <v>0</v>
      </c>
      <c r="K81" s="1185">
        <v>0</v>
      </c>
      <c r="L81" s="1185">
        <v>0</v>
      </c>
      <c r="M81" s="436">
        <f>M82*M83</f>
        <v>0</v>
      </c>
      <c r="N81" s="437">
        <f t="shared" si="3"/>
        <v>0</v>
      </c>
      <c r="O81" s="438">
        <f>O82*O83</f>
        <v>0</v>
      </c>
      <c r="P81" s="436">
        <f>P82*P83</f>
        <v>0</v>
      </c>
      <c r="Q81" s="437">
        <f>IF(P81=0,0,R81/P81*100)</f>
        <v>0</v>
      </c>
      <c r="R81" s="438">
        <f>R82*R83</f>
        <v>0</v>
      </c>
    </row>
    <row r="82" spans="1:18" ht="13.5" customHeight="1" hidden="1">
      <c r="A82" s="380"/>
      <c r="B82" s="1555"/>
      <c r="C82" s="439" t="s">
        <v>124</v>
      </c>
      <c r="D82" s="440" t="s">
        <v>16</v>
      </c>
      <c r="E82" s="374">
        <v>0</v>
      </c>
      <c r="F82" s="374">
        <v>0</v>
      </c>
      <c r="G82" s="782">
        <v>0</v>
      </c>
      <c r="H82" s="872">
        <f>'Покупная продукция'!O14</f>
        <v>0</v>
      </c>
      <c r="I82" s="782">
        <v>0</v>
      </c>
      <c r="J82" s="265">
        <v>0</v>
      </c>
      <c r="K82" s="218">
        <v>0</v>
      </c>
      <c r="L82" s="218">
        <v>0</v>
      </c>
      <c r="M82" s="780">
        <f>'Покупная продукция'!W14</f>
        <v>0</v>
      </c>
      <c r="N82" s="69">
        <f t="shared" si="3"/>
        <v>0</v>
      </c>
      <c r="O82" s="193">
        <f>M82</f>
        <v>0</v>
      </c>
      <c r="P82" s="197">
        <f>M82</f>
        <v>0</v>
      </c>
      <c r="Q82" s="69">
        <f>IF(P82=0,0,R82/P82*100)</f>
        <v>0</v>
      </c>
      <c r="R82" s="193">
        <f>P82</f>
        <v>0</v>
      </c>
    </row>
    <row r="83" spans="1:18" ht="13.5" customHeight="1" hidden="1">
      <c r="A83" s="380"/>
      <c r="B83" s="1555"/>
      <c r="C83" s="439" t="s">
        <v>125</v>
      </c>
      <c r="D83" s="404" t="s">
        <v>126</v>
      </c>
      <c r="E83" s="463">
        <v>0</v>
      </c>
      <c r="F83" s="463">
        <v>0</v>
      </c>
      <c r="G83" s="782">
        <v>0</v>
      </c>
      <c r="H83" s="873">
        <f>IF('Покупная продукция'!P14=0,0,'Покупная продукция'!P14/'Покупная продукция'!O14)</f>
        <v>0</v>
      </c>
      <c r="I83" s="782">
        <v>0</v>
      </c>
      <c r="J83" s="873">
        <v>0</v>
      </c>
      <c r="K83" s="1122">
        <v>0</v>
      </c>
      <c r="L83" s="1122">
        <v>0</v>
      </c>
      <c r="M83" s="780">
        <f>'Покупная продукция'!X14</f>
        <v>0</v>
      </c>
      <c r="N83" s="1044">
        <f t="shared" si="3"/>
        <v>0</v>
      </c>
      <c r="O83" s="786">
        <f>'Покупная продукция'!AA14</f>
        <v>0</v>
      </c>
      <c r="P83" s="119">
        <f>M83</f>
        <v>0</v>
      </c>
      <c r="Q83" s="511">
        <v>100</v>
      </c>
      <c r="R83" s="161">
        <f>P83*Q83/100</f>
        <v>0</v>
      </c>
    </row>
    <row r="84" spans="1:18" ht="13.5" customHeight="1" hidden="1">
      <c r="A84" s="380"/>
      <c r="B84" s="1555" t="s">
        <v>128</v>
      </c>
      <c r="C84" s="875">
        <f>'Покупная продукция'!B15</f>
        <v>0</v>
      </c>
      <c r="D84" s="404"/>
      <c r="E84" s="1144">
        <v>0</v>
      </c>
      <c r="F84" s="1144">
        <v>0</v>
      </c>
      <c r="G84" s="1168">
        <v>0</v>
      </c>
      <c r="H84" s="435">
        <f>H85*H86</f>
        <v>0</v>
      </c>
      <c r="I84" s="1094">
        <v>0</v>
      </c>
      <c r="J84" s="1095">
        <v>0</v>
      </c>
      <c r="K84" s="1185">
        <v>0</v>
      </c>
      <c r="L84" s="1185">
        <v>0</v>
      </c>
      <c r="M84" s="436">
        <f>M85*M86</f>
        <v>0</v>
      </c>
      <c r="N84" s="437">
        <f t="shared" si="3"/>
        <v>0</v>
      </c>
      <c r="O84" s="438">
        <f>O85*O86</f>
        <v>0</v>
      </c>
      <c r="P84" s="436">
        <f>P85*P86</f>
        <v>0</v>
      </c>
      <c r="Q84" s="437">
        <f>IF(P84=0,0,R84/P84*100)</f>
        <v>0</v>
      </c>
      <c r="R84" s="438">
        <f>R85*R86</f>
        <v>0</v>
      </c>
    </row>
    <row r="85" spans="1:18" ht="13.5" customHeight="1" hidden="1">
      <c r="A85" s="380"/>
      <c r="B85" s="1555"/>
      <c r="C85" s="439" t="s">
        <v>124</v>
      </c>
      <c r="D85" s="440" t="s">
        <v>16</v>
      </c>
      <c r="E85" s="374">
        <v>0</v>
      </c>
      <c r="F85" s="374">
        <v>0</v>
      </c>
      <c r="G85" s="782">
        <v>0</v>
      </c>
      <c r="H85" s="872">
        <f>'Покупная продукция'!O15</f>
        <v>0</v>
      </c>
      <c r="I85" s="782">
        <v>0</v>
      </c>
      <c r="J85" s="265">
        <v>0</v>
      </c>
      <c r="K85" s="218">
        <v>0</v>
      </c>
      <c r="L85" s="218">
        <v>0</v>
      </c>
      <c r="M85" s="780">
        <f>'Покупная продукция'!W15</f>
        <v>0</v>
      </c>
      <c r="N85" s="69">
        <f t="shared" si="3"/>
        <v>0</v>
      </c>
      <c r="O85" s="193">
        <f>M85</f>
        <v>0</v>
      </c>
      <c r="P85" s="197">
        <f>M85</f>
        <v>0</v>
      </c>
      <c r="Q85" s="69">
        <f>IF(P85=0,0,R85/P85*100)</f>
        <v>0</v>
      </c>
      <c r="R85" s="193">
        <f>P85</f>
        <v>0</v>
      </c>
    </row>
    <row r="86" spans="1:18" ht="13.5" customHeight="1" hidden="1">
      <c r="A86" s="380"/>
      <c r="B86" s="1555"/>
      <c r="C86" s="439" t="s">
        <v>125</v>
      </c>
      <c r="D86" s="404" t="s">
        <v>126</v>
      </c>
      <c r="E86" s="463">
        <v>0</v>
      </c>
      <c r="F86" s="463">
        <v>0</v>
      </c>
      <c r="G86" s="782">
        <v>0</v>
      </c>
      <c r="H86" s="873">
        <f>IF('Покупная продукция'!P15=0,0,'Покупная продукция'!P15/'Покупная продукция'!O15)</f>
        <v>0</v>
      </c>
      <c r="I86" s="782">
        <v>0</v>
      </c>
      <c r="J86" s="873">
        <v>0</v>
      </c>
      <c r="K86" s="1122">
        <v>0</v>
      </c>
      <c r="L86" s="1122">
        <v>0</v>
      </c>
      <c r="M86" s="780">
        <f>'Покупная продукция'!X15</f>
        <v>0</v>
      </c>
      <c r="N86" s="1044">
        <f t="shared" si="3"/>
        <v>0</v>
      </c>
      <c r="O86" s="786">
        <f>'Покупная продукция'!AA15</f>
        <v>0</v>
      </c>
      <c r="P86" s="119">
        <f>M86</f>
        <v>0</v>
      </c>
      <c r="Q86" s="511">
        <v>100</v>
      </c>
      <c r="R86" s="161">
        <f>P86*Q86/100</f>
        <v>0</v>
      </c>
    </row>
    <row r="87" spans="1:18" ht="13.5" customHeight="1" hidden="1">
      <c r="A87" s="380"/>
      <c r="B87" s="1555" t="s">
        <v>129</v>
      </c>
      <c r="C87" s="875">
        <f>'Покупная продукция'!B16</f>
        <v>0</v>
      </c>
      <c r="D87" s="404"/>
      <c r="E87" s="1144">
        <v>0</v>
      </c>
      <c r="F87" s="1144">
        <v>0</v>
      </c>
      <c r="G87" s="1168">
        <v>0</v>
      </c>
      <c r="H87" s="435">
        <f>H88*H89</f>
        <v>0</v>
      </c>
      <c r="I87" s="1094">
        <v>0</v>
      </c>
      <c r="J87" s="1095">
        <v>0</v>
      </c>
      <c r="K87" s="1185">
        <v>0</v>
      </c>
      <c r="L87" s="1185">
        <v>0</v>
      </c>
      <c r="M87" s="436">
        <f>M88*M89</f>
        <v>0</v>
      </c>
      <c r="N87" s="437">
        <f t="shared" si="3"/>
        <v>0</v>
      </c>
      <c r="O87" s="438">
        <f>O88*O89</f>
        <v>0</v>
      </c>
      <c r="P87" s="436">
        <f>P88*P89</f>
        <v>0</v>
      </c>
      <c r="Q87" s="437">
        <f>IF(P87=0,0,R87/P87*100)</f>
        <v>0</v>
      </c>
      <c r="R87" s="438">
        <f>R88*R89</f>
        <v>0</v>
      </c>
    </row>
    <row r="88" spans="1:18" ht="13.5" customHeight="1" hidden="1">
      <c r="A88" s="380"/>
      <c r="B88" s="1555"/>
      <c r="C88" s="439" t="s">
        <v>124</v>
      </c>
      <c r="D88" s="440" t="s">
        <v>16</v>
      </c>
      <c r="E88" s="374">
        <v>0</v>
      </c>
      <c r="F88" s="374">
        <v>0</v>
      </c>
      <c r="G88" s="782">
        <v>0</v>
      </c>
      <c r="H88" s="872">
        <f>'Покупная продукция'!O16</f>
        <v>0</v>
      </c>
      <c r="I88" s="782">
        <v>0</v>
      </c>
      <c r="J88" s="265">
        <v>0</v>
      </c>
      <c r="K88" s="218">
        <v>0</v>
      </c>
      <c r="L88" s="218">
        <v>0</v>
      </c>
      <c r="M88" s="780">
        <f>'Покупная продукция'!W16</f>
        <v>0</v>
      </c>
      <c r="N88" s="69">
        <f t="shared" si="3"/>
        <v>0</v>
      </c>
      <c r="O88" s="193">
        <f>M88</f>
        <v>0</v>
      </c>
      <c r="P88" s="197">
        <f>M88</f>
        <v>0</v>
      </c>
      <c r="Q88" s="69">
        <f>IF(P88=0,0,R88/P88*100)</f>
        <v>0</v>
      </c>
      <c r="R88" s="193">
        <f>P88</f>
        <v>0</v>
      </c>
    </row>
    <row r="89" spans="1:18" ht="13.5" customHeight="1" hidden="1">
      <c r="A89" s="380"/>
      <c r="B89" s="1555"/>
      <c r="C89" s="439" t="s">
        <v>125</v>
      </c>
      <c r="D89" s="404" t="s">
        <v>126</v>
      </c>
      <c r="E89" s="463">
        <v>0</v>
      </c>
      <c r="F89" s="463">
        <v>0</v>
      </c>
      <c r="G89" s="782">
        <v>0</v>
      </c>
      <c r="H89" s="873">
        <f>IF('Покупная продукция'!P16=0,0,'Покупная продукция'!P16/'Покупная продукция'!O16)</f>
        <v>0</v>
      </c>
      <c r="I89" s="782">
        <v>0</v>
      </c>
      <c r="J89" s="873">
        <v>0</v>
      </c>
      <c r="K89" s="1122">
        <v>0</v>
      </c>
      <c r="L89" s="1122">
        <v>0</v>
      </c>
      <c r="M89" s="780">
        <f>'Покупная продукция'!X16</f>
        <v>0</v>
      </c>
      <c r="N89" s="1044">
        <f t="shared" si="3"/>
        <v>0</v>
      </c>
      <c r="O89" s="786">
        <f>'Покупная продукция'!AA16</f>
        <v>0</v>
      </c>
      <c r="P89" s="119">
        <f>M89</f>
        <v>0</v>
      </c>
      <c r="Q89" s="511">
        <v>100</v>
      </c>
      <c r="R89" s="161">
        <f>P89*Q89/100</f>
        <v>0</v>
      </c>
    </row>
    <row r="90" spans="1:18" ht="13.5" customHeight="1" hidden="1">
      <c r="A90" s="380"/>
      <c r="B90" s="1555" t="s">
        <v>130</v>
      </c>
      <c r="C90" s="875">
        <f>'Покупная продукция'!B17</f>
        <v>0</v>
      </c>
      <c r="D90" s="404"/>
      <c r="E90" s="1144">
        <v>0</v>
      </c>
      <c r="F90" s="1144">
        <v>0</v>
      </c>
      <c r="G90" s="1168">
        <v>0</v>
      </c>
      <c r="H90" s="435">
        <f>H91*H92</f>
        <v>0</v>
      </c>
      <c r="I90" s="1094">
        <v>0</v>
      </c>
      <c r="J90" s="1095">
        <v>0</v>
      </c>
      <c r="K90" s="1185">
        <v>0</v>
      </c>
      <c r="L90" s="1185">
        <v>0</v>
      </c>
      <c r="M90" s="436">
        <f>M91*M92</f>
        <v>0</v>
      </c>
      <c r="N90" s="437">
        <f t="shared" si="3"/>
        <v>0</v>
      </c>
      <c r="O90" s="438">
        <f>O91*O92</f>
        <v>0</v>
      </c>
      <c r="P90" s="436">
        <f>P91*P92</f>
        <v>0</v>
      </c>
      <c r="Q90" s="437">
        <f>IF(P90=0,0,R90/P90*100)</f>
        <v>0</v>
      </c>
      <c r="R90" s="438">
        <f>R91*R92</f>
        <v>0</v>
      </c>
    </row>
    <row r="91" spans="1:18" ht="13.5" customHeight="1" hidden="1">
      <c r="A91" s="380"/>
      <c r="B91" s="1555"/>
      <c r="C91" s="439" t="s">
        <v>124</v>
      </c>
      <c r="D91" s="440" t="s">
        <v>16</v>
      </c>
      <c r="E91" s="374">
        <v>0</v>
      </c>
      <c r="F91" s="374">
        <v>0</v>
      </c>
      <c r="G91" s="782">
        <v>0</v>
      </c>
      <c r="H91" s="872">
        <f>'Покупная продукция'!O17</f>
        <v>0</v>
      </c>
      <c r="I91" s="782">
        <v>0</v>
      </c>
      <c r="J91" s="265">
        <v>0</v>
      </c>
      <c r="K91" s="218">
        <v>0</v>
      </c>
      <c r="L91" s="218">
        <v>0</v>
      </c>
      <c r="M91" s="780">
        <f>'Покупная продукция'!W17</f>
        <v>0</v>
      </c>
      <c r="N91" s="69">
        <f t="shared" si="3"/>
        <v>0</v>
      </c>
      <c r="O91" s="193">
        <f>M91</f>
        <v>0</v>
      </c>
      <c r="P91" s="197">
        <f>M91</f>
        <v>0</v>
      </c>
      <c r="Q91" s="69">
        <f>IF(P91=0,0,R91/P91*100)</f>
        <v>0</v>
      </c>
      <c r="R91" s="193">
        <f>P91</f>
        <v>0</v>
      </c>
    </row>
    <row r="92" spans="1:18" ht="13.5" customHeight="1" hidden="1">
      <c r="A92" s="380"/>
      <c r="B92" s="1555"/>
      <c r="C92" s="439" t="s">
        <v>125</v>
      </c>
      <c r="D92" s="404" t="s">
        <v>126</v>
      </c>
      <c r="E92" s="463">
        <v>0</v>
      </c>
      <c r="F92" s="463">
        <v>0</v>
      </c>
      <c r="G92" s="782">
        <v>0</v>
      </c>
      <c r="H92" s="873">
        <f>IF('Покупная продукция'!P17=0,0,'Покупная продукция'!P17/'Покупная продукция'!O17)</f>
        <v>0</v>
      </c>
      <c r="I92" s="782">
        <v>0</v>
      </c>
      <c r="J92" s="873">
        <v>0</v>
      </c>
      <c r="K92" s="1122">
        <v>0</v>
      </c>
      <c r="L92" s="1122">
        <v>0</v>
      </c>
      <c r="M92" s="780">
        <f>'Покупная продукция'!X17</f>
        <v>0</v>
      </c>
      <c r="N92" s="180">
        <f t="shared" si="3"/>
        <v>0</v>
      </c>
      <c r="O92" s="786">
        <f>'Покупная продукция'!AA17</f>
        <v>0</v>
      </c>
      <c r="P92" s="119">
        <f>M92</f>
        <v>0</v>
      </c>
      <c r="Q92" s="511">
        <v>100</v>
      </c>
      <c r="R92" s="161">
        <f>P92*Q92/100</f>
        <v>0</v>
      </c>
    </row>
    <row r="93" spans="1:18" ht="13.5" customHeight="1" hidden="1">
      <c r="A93" s="380"/>
      <c r="B93" s="1555" t="s">
        <v>723</v>
      </c>
      <c r="C93" s="875">
        <f>'Покупная продукция'!B18</f>
        <v>0</v>
      </c>
      <c r="D93" s="404"/>
      <c r="E93" s="1144">
        <v>0</v>
      </c>
      <c r="F93" s="1144">
        <v>0</v>
      </c>
      <c r="G93" s="1168">
        <v>0</v>
      </c>
      <c r="H93" s="435">
        <f>H94*H95</f>
        <v>0</v>
      </c>
      <c r="I93" s="1094">
        <v>0</v>
      </c>
      <c r="J93" s="1095">
        <v>0</v>
      </c>
      <c r="K93" s="1185">
        <v>0</v>
      </c>
      <c r="L93" s="1185">
        <v>0</v>
      </c>
      <c r="M93" s="436">
        <f>M94*M95</f>
        <v>0</v>
      </c>
      <c r="N93" s="437">
        <f t="shared" si="3"/>
        <v>0</v>
      </c>
      <c r="O93" s="438">
        <f>O94*O95</f>
        <v>0</v>
      </c>
      <c r="P93" s="436">
        <f>P94*P95</f>
        <v>0</v>
      </c>
      <c r="Q93" s="437">
        <f>IF(P93=0,0,R93/P93*100)</f>
        <v>0</v>
      </c>
      <c r="R93" s="438">
        <f>R94*R95</f>
        <v>0</v>
      </c>
    </row>
    <row r="94" spans="1:18" ht="13.5" customHeight="1" hidden="1">
      <c r="A94" s="380"/>
      <c r="B94" s="1555"/>
      <c r="C94" s="439" t="s">
        <v>124</v>
      </c>
      <c r="D94" s="440" t="s">
        <v>16</v>
      </c>
      <c r="E94" s="374">
        <v>0</v>
      </c>
      <c r="F94" s="374">
        <v>0</v>
      </c>
      <c r="G94" s="782">
        <v>0</v>
      </c>
      <c r="H94" s="872">
        <f>'Покупная продукция'!O18</f>
        <v>0</v>
      </c>
      <c r="I94" s="782">
        <v>0</v>
      </c>
      <c r="J94" s="265">
        <v>0</v>
      </c>
      <c r="K94" s="218">
        <v>0</v>
      </c>
      <c r="L94" s="218">
        <v>0</v>
      </c>
      <c r="M94" s="780">
        <f>'Покупная продукция'!W18</f>
        <v>0</v>
      </c>
      <c r="N94" s="69">
        <f t="shared" si="3"/>
        <v>0</v>
      </c>
      <c r="O94" s="193">
        <f>M94</f>
        <v>0</v>
      </c>
      <c r="P94" s="197">
        <f>M94</f>
        <v>0</v>
      </c>
      <c r="Q94" s="69">
        <f>IF(P94=0,0,R94/P94*100)</f>
        <v>0</v>
      </c>
      <c r="R94" s="193">
        <f>P94</f>
        <v>0</v>
      </c>
    </row>
    <row r="95" spans="1:18" ht="13.5" customHeight="1" hidden="1">
      <c r="A95" s="380"/>
      <c r="B95" s="1555"/>
      <c r="C95" s="439" t="s">
        <v>125</v>
      </c>
      <c r="D95" s="404" t="s">
        <v>126</v>
      </c>
      <c r="E95" s="463">
        <v>0</v>
      </c>
      <c r="F95" s="463">
        <v>0</v>
      </c>
      <c r="G95" s="782">
        <v>0</v>
      </c>
      <c r="H95" s="873">
        <f>IF('Покупная продукция'!P18=0,0,'Покупная продукция'!P18/'Покупная продукция'!O18)</f>
        <v>0</v>
      </c>
      <c r="I95" s="782">
        <v>0</v>
      </c>
      <c r="J95" s="873">
        <v>0</v>
      </c>
      <c r="K95" s="1122">
        <v>0</v>
      </c>
      <c r="L95" s="1122">
        <v>0</v>
      </c>
      <c r="M95" s="780">
        <f>'Покупная продукция'!X18</f>
        <v>0</v>
      </c>
      <c r="N95" s="1044">
        <f t="shared" si="3"/>
        <v>0</v>
      </c>
      <c r="O95" s="786">
        <f>'Покупная продукция'!AA18</f>
        <v>0</v>
      </c>
      <c r="P95" s="119">
        <f>M95</f>
        <v>0</v>
      </c>
      <c r="Q95" s="511">
        <v>100</v>
      </c>
      <c r="R95" s="161">
        <f>P95*Q95/100</f>
        <v>0</v>
      </c>
    </row>
    <row r="96" spans="1:18" ht="13.5" customHeight="1" hidden="1">
      <c r="A96" s="380"/>
      <c r="B96" s="1555" t="s">
        <v>724</v>
      </c>
      <c r="C96" s="875">
        <f>'Покупная продукция'!B19</f>
        <v>0</v>
      </c>
      <c r="D96" s="404"/>
      <c r="E96" s="1144">
        <v>0</v>
      </c>
      <c r="F96" s="1144">
        <v>0</v>
      </c>
      <c r="G96" s="1168">
        <v>0</v>
      </c>
      <c r="H96" s="435">
        <f>H97*H98</f>
        <v>0</v>
      </c>
      <c r="I96" s="1094">
        <v>0</v>
      </c>
      <c r="J96" s="1095">
        <v>0</v>
      </c>
      <c r="K96" s="1185">
        <v>0</v>
      </c>
      <c r="L96" s="1185">
        <v>0</v>
      </c>
      <c r="M96" s="436">
        <f>M97*M98</f>
        <v>0</v>
      </c>
      <c r="N96" s="437">
        <f t="shared" si="3"/>
        <v>0</v>
      </c>
      <c r="O96" s="438">
        <f>O97*O98</f>
        <v>0</v>
      </c>
      <c r="P96" s="436">
        <f>P97*P98</f>
        <v>0</v>
      </c>
      <c r="Q96" s="437">
        <f>IF(P96=0,0,R96/P96*100)</f>
        <v>0</v>
      </c>
      <c r="R96" s="438">
        <f>R97*R98</f>
        <v>0</v>
      </c>
    </row>
    <row r="97" spans="1:18" ht="13.5" customHeight="1" hidden="1">
      <c r="A97" s="380"/>
      <c r="B97" s="1555"/>
      <c r="C97" s="439" t="s">
        <v>124</v>
      </c>
      <c r="D97" s="440" t="s">
        <v>16</v>
      </c>
      <c r="E97" s="374">
        <v>0</v>
      </c>
      <c r="F97" s="374">
        <v>0</v>
      </c>
      <c r="G97" s="782">
        <v>0</v>
      </c>
      <c r="H97" s="872">
        <f>'Покупная продукция'!O19</f>
        <v>0</v>
      </c>
      <c r="I97" s="782">
        <v>0</v>
      </c>
      <c r="J97" s="265">
        <v>0</v>
      </c>
      <c r="K97" s="218">
        <v>0</v>
      </c>
      <c r="L97" s="218">
        <v>0</v>
      </c>
      <c r="M97" s="780">
        <f>'Покупная продукция'!W19</f>
        <v>0</v>
      </c>
      <c r="N97" s="69">
        <f t="shared" si="3"/>
        <v>0</v>
      </c>
      <c r="O97" s="193">
        <f>M97</f>
        <v>0</v>
      </c>
      <c r="P97" s="197">
        <f>M97</f>
        <v>0</v>
      </c>
      <c r="Q97" s="69">
        <f>IF(P97=0,0,R97/P97*100)</f>
        <v>0</v>
      </c>
      <c r="R97" s="193">
        <f>P97</f>
        <v>0</v>
      </c>
    </row>
    <row r="98" spans="1:18" ht="13.5" customHeight="1" hidden="1">
      <c r="A98" s="380"/>
      <c r="B98" s="1555"/>
      <c r="C98" s="439" t="s">
        <v>125</v>
      </c>
      <c r="D98" s="404" t="s">
        <v>126</v>
      </c>
      <c r="E98" s="463">
        <v>0</v>
      </c>
      <c r="F98" s="463">
        <v>0</v>
      </c>
      <c r="G98" s="782">
        <v>0</v>
      </c>
      <c r="H98" s="873">
        <f>IF('Покупная продукция'!P19=0,0,'Покупная продукция'!P19/'Покупная продукция'!O19)</f>
        <v>0</v>
      </c>
      <c r="I98" s="782">
        <v>0</v>
      </c>
      <c r="J98" s="873">
        <v>0</v>
      </c>
      <c r="K98" s="1122">
        <v>0</v>
      </c>
      <c r="L98" s="1122">
        <v>0</v>
      </c>
      <c r="M98" s="780">
        <f>'Покупная продукция'!X19</f>
        <v>0</v>
      </c>
      <c r="N98" s="1044">
        <f t="shared" si="3"/>
        <v>0</v>
      </c>
      <c r="O98" s="786">
        <f>'Покупная продукция'!AA19</f>
        <v>0</v>
      </c>
      <c r="P98" s="119">
        <f>M98</f>
        <v>0</v>
      </c>
      <c r="Q98" s="511">
        <v>100</v>
      </c>
      <c r="R98" s="161">
        <f>P98*Q98/100</f>
        <v>0</v>
      </c>
    </row>
    <row r="99" spans="1:18" ht="13.5" customHeight="1" hidden="1">
      <c r="A99" s="380"/>
      <c r="B99" s="1555" t="s">
        <v>725</v>
      </c>
      <c r="C99" s="875">
        <f>'Покупная продукция'!B20</f>
        <v>0</v>
      </c>
      <c r="D99" s="404"/>
      <c r="E99" s="1144">
        <v>0</v>
      </c>
      <c r="F99" s="1144">
        <v>0</v>
      </c>
      <c r="G99" s="1168">
        <v>0</v>
      </c>
      <c r="H99" s="435">
        <f>H100*H101</f>
        <v>0</v>
      </c>
      <c r="I99" s="1094">
        <v>0</v>
      </c>
      <c r="J99" s="1095">
        <v>0</v>
      </c>
      <c r="K99" s="1185">
        <v>0</v>
      </c>
      <c r="L99" s="1185">
        <v>0</v>
      </c>
      <c r="M99" s="436">
        <f>M100*M101</f>
        <v>0</v>
      </c>
      <c r="N99" s="437">
        <f t="shared" si="3"/>
        <v>0</v>
      </c>
      <c r="O99" s="438">
        <f>O100*O101</f>
        <v>0</v>
      </c>
      <c r="P99" s="436">
        <f>P100*P101</f>
        <v>0</v>
      </c>
      <c r="Q99" s="437">
        <f>IF(P99=0,0,R99/P99*100)</f>
        <v>0</v>
      </c>
      <c r="R99" s="438">
        <f>R100*R101</f>
        <v>0</v>
      </c>
    </row>
    <row r="100" spans="1:18" ht="13.5" customHeight="1" hidden="1">
      <c r="A100" s="380"/>
      <c r="B100" s="1555"/>
      <c r="C100" s="439" t="s">
        <v>124</v>
      </c>
      <c r="D100" s="440" t="s">
        <v>16</v>
      </c>
      <c r="E100" s="374">
        <v>0</v>
      </c>
      <c r="F100" s="374">
        <v>0</v>
      </c>
      <c r="G100" s="782">
        <v>0</v>
      </c>
      <c r="H100" s="872">
        <f>'Покупная продукция'!O20</f>
        <v>0</v>
      </c>
      <c r="I100" s="782">
        <v>0</v>
      </c>
      <c r="J100" s="265">
        <v>0</v>
      </c>
      <c r="K100" s="218">
        <v>0</v>
      </c>
      <c r="L100" s="218">
        <v>0</v>
      </c>
      <c r="M100" s="780">
        <f>'Покупная продукция'!W20</f>
        <v>0</v>
      </c>
      <c r="N100" s="69">
        <f t="shared" si="3"/>
        <v>0</v>
      </c>
      <c r="O100" s="193">
        <f>M100</f>
        <v>0</v>
      </c>
      <c r="P100" s="197">
        <f>M100</f>
        <v>0</v>
      </c>
      <c r="Q100" s="69">
        <f>IF(P100=0,0,R100/P100*100)</f>
        <v>0</v>
      </c>
      <c r="R100" s="193">
        <f>P100</f>
        <v>0</v>
      </c>
    </row>
    <row r="101" spans="1:18" ht="13.5" customHeight="1" hidden="1">
      <c r="A101" s="380"/>
      <c r="B101" s="1555"/>
      <c r="C101" s="439" t="s">
        <v>125</v>
      </c>
      <c r="D101" s="404" t="s">
        <v>126</v>
      </c>
      <c r="E101" s="463">
        <v>0</v>
      </c>
      <c r="F101" s="463">
        <v>0</v>
      </c>
      <c r="G101" s="782">
        <v>0</v>
      </c>
      <c r="H101" s="873">
        <f>IF('Покупная продукция'!P20=0,0,'Покупная продукция'!P20/'Покупная продукция'!O20)</f>
        <v>0</v>
      </c>
      <c r="I101" s="782">
        <v>0</v>
      </c>
      <c r="J101" s="873">
        <v>0</v>
      </c>
      <c r="K101" s="1122">
        <v>0</v>
      </c>
      <c r="L101" s="1122">
        <v>0</v>
      </c>
      <c r="M101" s="780">
        <f>'Покупная продукция'!X20</f>
        <v>0</v>
      </c>
      <c r="N101" s="1044">
        <f t="shared" si="3"/>
        <v>0</v>
      </c>
      <c r="O101" s="786">
        <f>'Покупная продукция'!AA20</f>
        <v>0</v>
      </c>
      <c r="P101" s="119">
        <f>M101</f>
        <v>0</v>
      </c>
      <c r="Q101" s="511">
        <v>100</v>
      </c>
      <c r="R101" s="161">
        <f>P101*Q101/100</f>
        <v>0</v>
      </c>
    </row>
    <row r="102" spans="1:18" ht="13.5" customHeight="1" hidden="1">
      <c r="A102" s="380"/>
      <c r="B102" s="1555" t="s">
        <v>726</v>
      </c>
      <c r="C102" s="875">
        <f>'Покупная продукция'!B21</f>
        <v>0</v>
      </c>
      <c r="D102" s="404"/>
      <c r="E102" s="1144">
        <v>0</v>
      </c>
      <c r="F102" s="1144">
        <v>0</v>
      </c>
      <c r="G102" s="1168">
        <v>0</v>
      </c>
      <c r="H102" s="435">
        <f>H103*H104</f>
        <v>0</v>
      </c>
      <c r="I102" s="1094">
        <v>0</v>
      </c>
      <c r="J102" s="1095">
        <v>0</v>
      </c>
      <c r="K102" s="1185">
        <v>0</v>
      </c>
      <c r="L102" s="1185">
        <v>0</v>
      </c>
      <c r="M102" s="436">
        <f>M103*M104</f>
        <v>0</v>
      </c>
      <c r="N102" s="437">
        <f t="shared" si="3"/>
        <v>0</v>
      </c>
      <c r="O102" s="438">
        <f>O103*O104</f>
        <v>0</v>
      </c>
      <c r="P102" s="436">
        <f>P103*P104</f>
        <v>0</v>
      </c>
      <c r="Q102" s="437">
        <f>IF(P102=0,0,R102/P102*100)</f>
        <v>0</v>
      </c>
      <c r="R102" s="438">
        <f>R103*R104</f>
        <v>0</v>
      </c>
    </row>
    <row r="103" spans="1:18" ht="13.5" customHeight="1" hidden="1">
      <c r="A103" s="380"/>
      <c r="B103" s="1555"/>
      <c r="C103" s="439" t="s">
        <v>124</v>
      </c>
      <c r="D103" s="440" t="s">
        <v>16</v>
      </c>
      <c r="E103" s="374">
        <v>0</v>
      </c>
      <c r="F103" s="374">
        <v>0</v>
      </c>
      <c r="G103" s="782">
        <v>0</v>
      </c>
      <c r="H103" s="872">
        <f>'Покупная продукция'!O21</f>
        <v>0</v>
      </c>
      <c r="I103" s="782">
        <v>0</v>
      </c>
      <c r="J103" s="265">
        <v>0</v>
      </c>
      <c r="K103" s="218">
        <v>0</v>
      </c>
      <c r="L103" s="218">
        <v>0</v>
      </c>
      <c r="M103" s="780">
        <f>'Покупная продукция'!W21</f>
        <v>0</v>
      </c>
      <c r="N103" s="69">
        <f t="shared" si="3"/>
        <v>0</v>
      </c>
      <c r="O103" s="193">
        <f>M103</f>
        <v>0</v>
      </c>
      <c r="P103" s="197">
        <f>M103</f>
        <v>0</v>
      </c>
      <c r="Q103" s="69">
        <f>IF(P103=0,0,R103/P103*100)</f>
        <v>0</v>
      </c>
      <c r="R103" s="193">
        <f>P103</f>
        <v>0</v>
      </c>
    </row>
    <row r="104" spans="1:18" ht="13.5" customHeight="1" hidden="1">
      <c r="A104" s="380"/>
      <c r="B104" s="1555"/>
      <c r="C104" s="439" t="s">
        <v>125</v>
      </c>
      <c r="D104" s="404" t="s">
        <v>126</v>
      </c>
      <c r="E104" s="463">
        <v>0</v>
      </c>
      <c r="F104" s="463">
        <v>0</v>
      </c>
      <c r="G104" s="782">
        <v>0</v>
      </c>
      <c r="H104" s="873">
        <f>IF('Покупная продукция'!P21=0,0,'Покупная продукция'!P21/'Покупная продукция'!O21)</f>
        <v>0</v>
      </c>
      <c r="I104" s="782">
        <v>0</v>
      </c>
      <c r="J104" s="873">
        <v>0</v>
      </c>
      <c r="K104" s="1122">
        <v>0</v>
      </c>
      <c r="L104" s="1122">
        <v>0</v>
      </c>
      <c r="M104" s="780">
        <f>'Покупная продукция'!X21</f>
        <v>0</v>
      </c>
      <c r="N104" s="1044">
        <f t="shared" si="3"/>
        <v>0</v>
      </c>
      <c r="O104" s="786">
        <f>'Покупная продукция'!AA21</f>
        <v>0</v>
      </c>
      <c r="P104" s="119">
        <f>M104</f>
        <v>0</v>
      </c>
      <c r="Q104" s="511">
        <v>100</v>
      </c>
      <c r="R104" s="161">
        <f>P104*Q104/100</f>
        <v>0</v>
      </c>
    </row>
    <row r="105" spans="1:18" ht="13.5" customHeight="1" hidden="1">
      <c r="A105" s="380"/>
      <c r="B105" s="1555" t="s">
        <v>727</v>
      </c>
      <c r="C105" s="875">
        <f>'Покупная продукция'!B22</f>
        <v>0</v>
      </c>
      <c r="D105" s="404"/>
      <c r="E105" s="1144">
        <v>0</v>
      </c>
      <c r="F105" s="1144">
        <v>0</v>
      </c>
      <c r="G105" s="1168">
        <v>0</v>
      </c>
      <c r="H105" s="435">
        <f>H106*H107</f>
        <v>0</v>
      </c>
      <c r="I105" s="1094">
        <v>0</v>
      </c>
      <c r="J105" s="1095">
        <v>0</v>
      </c>
      <c r="K105" s="1185">
        <v>0</v>
      </c>
      <c r="L105" s="1185">
        <v>0</v>
      </c>
      <c r="M105" s="436">
        <f>M106*M107</f>
        <v>0</v>
      </c>
      <c r="N105" s="437">
        <f t="shared" si="3"/>
        <v>0</v>
      </c>
      <c r="O105" s="438">
        <f>O106*O107</f>
        <v>0</v>
      </c>
      <c r="P105" s="436">
        <f>P106*P107</f>
        <v>0</v>
      </c>
      <c r="Q105" s="437">
        <f>IF(P105=0,0,R105/P105*100)</f>
        <v>0</v>
      </c>
      <c r="R105" s="438">
        <f>R106*R107</f>
        <v>0</v>
      </c>
    </row>
    <row r="106" spans="1:18" ht="13.5" customHeight="1" hidden="1">
      <c r="A106" s="380"/>
      <c r="B106" s="1555"/>
      <c r="C106" s="439" t="s">
        <v>124</v>
      </c>
      <c r="D106" s="440" t="s">
        <v>16</v>
      </c>
      <c r="E106" s="374">
        <v>0</v>
      </c>
      <c r="F106" s="374">
        <v>0</v>
      </c>
      <c r="G106" s="782">
        <v>0</v>
      </c>
      <c r="H106" s="872">
        <f>'Покупная продукция'!O22</f>
        <v>0</v>
      </c>
      <c r="I106" s="782">
        <v>0</v>
      </c>
      <c r="J106" s="265">
        <v>0</v>
      </c>
      <c r="K106" s="218">
        <v>0</v>
      </c>
      <c r="L106" s="218">
        <v>0</v>
      </c>
      <c r="M106" s="780">
        <f>'Покупная продукция'!W22</f>
        <v>0</v>
      </c>
      <c r="N106" s="69">
        <f t="shared" si="3"/>
        <v>0</v>
      </c>
      <c r="O106" s="193">
        <f>M106</f>
        <v>0</v>
      </c>
      <c r="P106" s="197">
        <f>M106</f>
        <v>0</v>
      </c>
      <c r="Q106" s="69">
        <f>IF(P106=0,0,R106/P106*100)</f>
        <v>0</v>
      </c>
      <c r="R106" s="193">
        <f>P106</f>
        <v>0</v>
      </c>
    </row>
    <row r="107" spans="1:18" ht="13.5" customHeight="1" hidden="1">
      <c r="A107" s="380"/>
      <c r="B107" s="1555"/>
      <c r="C107" s="439" t="s">
        <v>125</v>
      </c>
      <c r="D107" s="404" t="s">
        <v>126</v>
      </c>
      <c r="E107" s="463">
        <v>0</v>
      </c>
      <c r="F107" s="463">
        <v>0</v>
      </c>
      <c r="G107" s="782">
        <v>0</v>
      </c>
      <c r="H107" s="873">
        <f>IF('Покупная продукция'!P22=0,0,'Покупная продукция'!P22/'Покупная продукция'!O22)</f>
        <v>0</v>
      </c>
      <c r="I107" s="782">
        <v>0</v>
      </c>
      <c r="J107" s="873">
        <v>0</v>
      </c>
      <c r="K107" s="1122">
        <v>0</v>
      </c>
      <c r="L107" s="1122">
        <v>0</v>
      </c>
      <c r="M107" s="780">
        <f>'Покупная продукция'!X22</f>
        <v>0</v>
      </c>
      <c r="N107" s="1044">
        <f t="shared" si="3"/>
        <v>0</v>
      </c>
      <c r="O107" s="786">
        <f>'Покупная продукция'!AA22</f>
        <v>0</v>
      </c>
      <c r="P107" s="119">
        <f>M107</f>
        <v>0</v>
      </c>
      <c r="Q107" s="511">
        <v>100</v>
      </c>
      <c r="R107" s="161">
        <f>P107*Q107/100</f>
        <v>0</v>
      </c>
    </row>
    <row r="108" spans="1:18" ht="13.5" customHeight="1" hidden="1">
      <c r="A108" s="380"/>
      <c r="B108" s="331"/>
      <c r="C108" s="442"/>
      <c r="D108" s="443"/>
      <c r="E108" s="377"/>
      <c r="F108" s="377"/>
      <c r="G108" s="191"/>
      <c r="H108" s="190"/>
      <c r="I108" s="197"/>
      <c r="J108" s="190"/>
      <c r="K108" s="787"/>
      <c r="L108" s="787"/>
      <c r="M108" s="197"/>
      <c r="N108" s="189"/>
      <c r="O108" s="161"/>
      <c r="P108" s="197"/>
      <c r="Q108" s="189"/>
      <c r="R108" s="161"/>
    </row>
    <row r="109" spans="1:18" s="433" customFormat="1" ht="13.5" customHeight="1" hidden="1">
      <c r="A109" s="424"/>
      <c r="B109" s="444" t="s">
        <v>131</v>
      </c>
      <c r="C109" s="445" t="s">
        <v>132</v>
      </c>
      <c r="D109" s="446"/>
      <c r="E109" s="1151">
        <v>0</v>
      </c>
      <c r="F109" s="1151">
        <v>0</v>
      </c>
      <c r="G109" s="447">
        <v>0</v>
      </c>
      <c r="H109" s="448">
        <f>SUM(H110,H113,H116)</f>
        <v>0</v>
      </c>
      <c r="I109" s="449">
        <v>0</v>
      </c>
      <c r="J109" s="448">
        <v>0</v>
      </c>
      <c r="K109" s="1123">
        <v>0</v>
      </c>
      <c r="L109" s="1123">
        <v>0</v>
      </c>
      <c r="M109" s="449">
        <f>SUM(M110,M113,M116)</f>
        <v>0</v>
      </c>
      <c r="N109" s="450">
        <f aca="true" t="shared" si="4" ref="N109:N118">IF(M109=0,0,O109/M109*100)</f>
        <v>0</v>
      </c>
      <c r="O109" s="451">
        <f>SUM(O110,O113,O116)</f>
        <v>0</v>
      </c>
      <c r="P109" s="449">
        <f>SUM(P110,P113,P116)</f>
        <v>0</v>
      </c>
      <c r="Q109" s="450">
        <f>IF(P109=0,0,R109/P109*100)</f>
        <v>0</v>
      </c>
      <c r="R109" s="451">
        <f>SUM(R110,R113,R116)</f>
        <v>0</v>
      </c>
    </row>
    <row r="110" spans="1:18" ht="13.5" customHeight="1" hidden="1">
      <c r="A110" s="380"/>
      <c r="B110" s="331"/>
      <c r="C110" s="875">
        <f>'Покупная продукция'!B25</f>
        <v>0</v>
      </c>
      <c r="D110" s="404"/>
      <c r="E110" s="1144">
        <v>0</v>
      </c>
      <c r="F110" s="1144">
        <v>0</v>
      </c>
      <c r="G110" s="1168">
        <v>0</v>
      </c>
      <c r="H110" s="435">
        <f>H111*H112</f>
        <v>0</v>
      </c>
      <c r="I110" s="1094">
        <v>0</v>
      </c>
      <c r="J110" s="1095">
        <v>0</v>
      </c>
      <c r="K110" s="1185">
        <v>0</v>
      </c>
      <c r="L110" s="1185">
        <v>0</v>
      </c>
      <c r="M110" s="436">
        <f>M111*M112</f>
        <v>0</v>
      </c>
      <c r="N110" s="437">
        <f t="shared" si="4"/>
        <v>0</v>
      </c>
      <c r="O110" s="438">
        <f>O111*O112</f>
        <v>0</v>
      </c>
      <c r="P110" s="436">
        <f>P111*P112</f>
        <v>0</v>
      </c>
      <c r="Q110" s="437">
        <f>IF(P110=0,0,R110/P110*100)</f>
        <v>0</v>
      </c>
      <c r="R110" s="438">
        <f>R111*R112</f>
        <v>0</v>
      </c>
    </row>
    <row r="111" spans="1:18" ht="13.5" customHeight="1" hidden="1">
      <c r="A111" s="380"/>
      <c r="B111" s="331" t="s">
        <v>655</v>
      </c>
      <c r="C111" s="439" t="s">
        <v>124</v>
      </c>
      <c r="D111" s="440" t="s">
        <v>16</v>
      </c>
      <c r="E111" s="374">
        <v>0</v>
      </c>
      <c r="F111" s="374">
        <v>0</v>
      </c>
      <c r="G111" s="782">
        <v>0</v>
      </c>
      <c r="H111" s="872">
        <f>'Покупная продукция'!O25</f>
        <v>0</v>
      </c>
      <c r="I111" s="782">
        <v>0</v>
      </c>
      <c r="J111" s="265">
        <v>0</v>
      </c>
      <c r="K111" s="218">
        <v>0</v>
      </c>
      <c r="L111" s="218">
        <v>0</v>
      </c>
      <c r="M111" s="780">
        <f>'Покупная продукция'!W25</f>
        <v>0</v>
      </c>
      <c r="N111" s="69">
        <f t="shared" si="4"/>
        <v>0</v>
      </c>
      <c r="O111" s="193">
        <f>M111</f>
        <v>0</v>
      </c>
      <c r="P111" s="197">
        <f>M111</f>
        <v>0</v>
      </c>
      <c r="Q111" s="69">
        <f>IF(P111=0,0,R111/P111*100)</f>
        <v>0</v>
      </c>
      <c r="R111" s="193">
        <f>P111</f>
        <v>0</v>
      </c>
    </row>
    <row r="112" spans="1:18" ht="13.5" customHeight="1" hidden="1">
      <c r="A112" s="380"/>
      <c r="B112" s="331"/>
      <c r="C112" s="439" t="s">
        <v>125</v>
      </c>
      <c r="D112" s="404" t="s">
        <v>126</v>
      </c>
      <c r="E112" s="463">
        <v>0</v>
      </c>
      <c r="F112" s="463">
        <v>0</v>
      </c>
      <c r="G112" s="782">
        <v>0</v>
      </c>
      <c r="H112" s="873">
        <f>IF('Покупная продукция'!P25=0,0,'Покупная продукция'!P25/'Покупная продукция'!O25)</f>
        <v>0</v>
      </c>
      <c r="I112" s="782">
        <v>0</v>
      </c>
      <c r="J112" s="873">
        <v>0</v>
      </c>
      <c r="K112" s="1122">
        <v>0</v>
      </c>
      <c r="L112" s="1122">
        <v>0</v>
      </c>
      <c r="M112" s="780">
        <f>'Покупная продукция'!X25</f>
        <v>0</v>
      </c>
      <c r="N112" s="1044">
        <f t="shared" si="4"/>
        <v>0</v>
      </c>
      <c r="O112" s="786">
        <f>'Покупная продукция'!AA25</f>
        <v>0</v>
      </c>
      <c r="P112" s="119">
        <f>M112</f>
        <v>0</v>
      </c>
      <c r="Q112" s="511">
        <v>100</v>
      </c>
      <c r="R112" s="161">
        <f>P112*Q112/100</f>
        <v>0</v>
      </c>
    </row>
    <row r="113" spans="1:18" ht="13.5" customHeight="1" hidden="1">
      <c r="A113" s="380"/>
      <c r="B113" s="331"/>
      <c r="C113" s="875">
        <f>'Покупная продукция'!B26</f>
        <v>0</v>
      </c>
      <c r="D113" s="404"/>
      <c r="E113" s="1144">
        <v>0</v>
      </c>
      <c r="F113" s="1144">
        <v>0</v>
      </c>
      <c r="G113" s="1168">
        <v>0</v>
      </c>
      <c r="H113" s="435">
        <f>H114*H115</f>
        <v>0</v>
      </c>
      <c r="I113" s="1094">
        <v>0</v>
      </c>
      <c r="J113" s="1095">
        <v>0</v>
      </c>
      <c r="K113" s="1185">
        <v>0</v>
      </c>
      <c r="L113" s="1185">
        <v>0</v>
      </c>
      <c r="M113" s="436">
        <f>M114*M115</f>
        <v>0</v>
      </c>
      <c r="N113" s="437">
        <f t="shared" si="4"/>
        <v>0</v>
      </c>
      <c r="O113" s="438">
        <f>O114*O115</f>
        <v>0</v>
      </c>
      <c r="P113" s="436">
        <f>P114*P115</f>
        <v>0</v>
      </c>
      <c r="Q113" s="437">
        <f>IF(P113=0,0,R113/P113*100)</f>
        <v>0</v>
      </c>
      <c r="R113" s="438">
        <f>R114*R115</f>
        <v>0</v>
      </c>
    </row>
    <row r="114" spans="1:18" ht="13.5" customHeight="1" hidden="1">
      <c r="A114" s="380"/>
      <c r="B114" s="331" t="s">
        <v>656</v>
      </c>
      <c r="C114" s="439" t="s">
        <v>124</v>
      </c>
      <c r="D114" s="440" t="s">
        <v>16</v>
      </c>
      <c r="E114" s="374">
        <v>0</v>
      </c>
      <c r="F114" s="374">
        <v>0</v>
      </c>
      <c r="G114" s="782">
        <v>0</v>
      </c>
      <c r="H114" s="872">
        <f>'Покупная продукция'!O26</f>
        <v>0</v>
      </c>
      <c r="I114" s="782">
        <v>0</v>
      </c>
      <c r="J114" s="265">
        <v>0</v>
      </c>
      <c r="K114" s="218">
        <v>0</v>
      </c>
      <c r="L114" s="218">
        <v>0</v>
      </c>
      <c r="M114" s="780">
        <f>'Покупная продукция'!W26</f>
        <v>0</v>
      </c>
      <c r="N114" s="69">
        <f t="shared" si="4"/>
        <v>0</v>
      </c>
      <c r="O114" s="193">
        <f>M114</f>
        <v>0</v>
      </c>
      <c r="P114" s="197">
        <f>M114</f>
        <v>0</v>
      </c>
      <c r="Q114" s="69">
        <f>IF(P114=0,0,R114/P114*100)</f>
        <v>0</v>
      </c>
      <c r="R114" s="193">
        <f>P114</f>
        <v>0</v>
      </c>
    </row>
    <row r="115" spans="1:18" ht="13.5" customHeight="1" hidden="1">
      <c r="A115" s="380"/>
      <c r="B115" s="331"/>
      <c r="C115" s="439" t="s">
        <v>125</v>
      </c>
      <c r="D115" s="404" t="s">
        <v>126</v>
      </c>
      <c r="E115" s="463">
        <v>0</v>
      </c>
      <c r="F115" s="463">
        <v>0</v>
      </c>
      <c r="G115" s="782">
        <v>0</v>
      </c>
      <c r="H115" s="873">
        <f>IF('Покупная продукция'!P26=0,0,'Покупная продукция'!P26/'Покупная продукция'!O26)</f>
        <v>0</v>
      </c>
      <c r="I115" s="782">
        <v>0</v>
      </c>
      <c r="J115" s="873">
        <v>0</v>
      </c>
      <c r="K115" s="1122">
        <v>0</v>
      </c>
      <c r="L115" s="1122">
        <v>0</v>
      </c>
      <c r="M115" s="780">
        <f>'Покупная продукция'!X26</f>
        <v>0</v>
      </c>
      <c r="N115" s="1044">
        <f t="shared" si="4"/>
        <v>0</v>
      </c>
      <c r="O115" s="786">
        <f>'Покупная продукция'!AA26</f>
        <v>0</v>
      </c>
      <c r="P115" s="119">
        <f>M115</f>
        <v>0</v>
      </c>
      <c r="Q115" s="511">
        <v>100</v>
      </c>
      <c r="R115" s="161">
        <f>P115*Q115/100</f>
        <v>0</v>
      </c>
    </row>
    <row r="116" spans="1:18" ht="13.5" customHeight="1" hidden="1">
      <c r="A116" s="380"/>
      <c r="B116" s="331"/>
      <c r="C116" s="875">
        <f>'Покупная продукция'!B27</f>
        <v>0</v>
      </c>
      <c r="D116" s="404"/>
      <c r="E116" s="1144">
        <v>0</v>
      </c>
      <c r="F116" s="1144">
        <v>0</v>
      </c>
      <c r="G116" s="1168">
        <v>0</v>
      </c>
      <c r="H116" s="435">
        <f>H117*H118</f>
        <v>0</v>
      </c>
      <c r="I116" s="1094">
        <v>0</v>
      </c>
      <c r="J116" s="1095">
        <v>0</v>
      </c>
      <c r="K116" s="1185">
        <v>0</v>
      </c>
      <c r="L116" s="1185">
        <v>0</v>
      </c>
      <c r="M116" s="436">
        <f>M117*M118</f>
        <v>0</v>
      </c>
      <c r="N116" s="437">
        <f t="shared" si="4"/>
        <v>0</v>
      </c>
      <c r="O116" s="438">
        <f>O117*O118</f>
        <v>0</v>
      </c>
      <c r="P116" s="436">
        <f>P117*P118</f>
        <v>0</v>
      </c>
      <c r="Q116" s="437">
        <f>IF(P116=0,0,R116/P116*100)</f>
        <v>0</v>
      </c>
      <c r="R116" s="438">
        <f>R117*R118</f>
        <v>0</v>
      </c>
    </row>
    <row r="117" spans="1:18" ht="13.5" customHeight="1" hidden="1">
      <c r="A117" s="380"/>
      <c r="B117" s="331" t="s">
        <v>657</v>
      </c>
      <c r="C117" s="439" t="s">
        <v>124</v>
      </c>
      <c r="D117" s="440" t="s">
        <v>16</v>
      </c>
      <c r="E117" s="374">
        <v>0</v>
      </c>
      <c r="F117" s="374">
        <v>0</v>
      </c>
      <c r="G117" s="782">
        <v>0</v>
      </c>
      <c r="H117" s="872">
        <f>'Покупная продукция'!O27</f>
        <v>0</v>
      </c>
      <c r="I117" s="782">
        <v>0</v>
      </c>
      <c r="J117" s="265">
        <v>0</v>
      </c>
      <c r="K117" s="218">
        <v>0</v>
      </c>
      <c r="L117" s="218">
        <v>0</v>
      </c>
      <c r="M117" s="780">
        <f>'Покупная продукция'!W27</f>
        <v>0</v>
      </c>
      <c r="N117" s="69">
        <f t="shared" si="4"/>
        <v>0</v>
      </c>
      <c r="O117" s="193">
        <f>M117</f>
        <v>0</v>
      </c>
      <c r="P117" s="197">
        <f>M117</f>
        <v>0</v>
      </c>
      <c r="Q117" s="69">
        <f>IF(P117=0,0,R117/P117*100)</f>
        <v>0</v>
      </c>
      <c r="R117" s="193">
        <f>P117</f>
        <v>0</v>
      </c>
    </row>
    <row r="118" spans="1:18" ht="13.5" customHeight="1" hidden="1">
      <c r="A118" s="380"/>
      <c r="B118" s="331"/>
      <c r="C118" s="439" t="s">
        <v>125</v>
      </c>
      <c r="D118" s="404" t="s">
        <v>126</v>
      </c>
      <c r="E118" s="463">
        <v>0</v>
      </c>
      <c r="F118" s="463">
        <v>0</v>
      </c>
      <c r="G118" s="782">
        <v>0</v>
      </c>
      <c r="H118" s="873">
        <f>IF('Покупная продукция'!P27=0,0,'Покупная продукция'!P27/'Покупная продукция'!O27)</f>
        <v>0</v>
      </c>
      <c r="I118" s="782">
        <v>0</v>
      </c>
      <c r="J118" s="873">
        <v>0</v>
      </c>
      <c r="K118" s="1122">
        <v>0</v>
      </c>
      <c r="L118" s="1122">
        <v>0</v>
      </c>
      <c r="M118" s="780">
        <f>'Покупная продукция'!X27</f>
        <v>0</v>
      </c>
      <c r="N118" s="1044">
        <f t="shared" si="4"/>
        <v>0</v>
      </c>
      <c r="O118" s="786">
        <f>'Покупная продукция'!AA27</f>
        <v>0</v>
      </c>
      <c r="P118" s="119">
        <f>M118</f>
        <v>0</v>
      </c>
      <c r="Q118" s="511">
        <v>100</v>
      </c>
      <c r="R118" s="161">
        <f>P118*Q118/100</f>
        <v>0</v>
      </c>
    </row>
    <row r="119" spans="1:18" s="501" customFormat="1" ht="13.5" customHeight="1" hidden="1">
      <c r="A119" s="380"/>
      <c r="B119" s="331"/>
      <c r="C119" s="441"/>
      <c r="D119" s="404"/>
      <c r="E119" s="1144"/>
      <c r="F119" s="1144"/>
      <c r="G119" s="199"/>
      <c r="H119" s="265"/>
      <c r="I119" s="200"/>
      <c r="J119" s="265"/>
      <c r="K119" s="218"/>
      <c r="L119" s="218"/>
      <c r="M119" s="197"/>
      <c r="N119" s="180"/>
      <c r="O119" s="193"/>
      <c r="P119" s="197"/>
      <c r="Q119" s="180"/>
      <c r="R119" s="193"/>
    </row>
    <row r="120" spans="1:18" s="433" customFormat="1" ht="17.25" customHeight="1" hidden="1" thickBot="1">
      <c r="A120" s="424"/>
      <c r="B120" s="444" t="s">
        <v>133</v>
      </c>
      <c r="C120" s="445" t="s">
        <v>134</v>
      </c>
      <c r="D120" s="446"/>
      <c r="E120" s="1151">
        <v>0</v>
      </c>
      <c r="F120" s="1151">
        <v>0</v>
      </c>
      <c r="G120" s="447">
        <v>0</v>
      </c>
      <c r="H120" s="448">
        <f>SUM(H121,H124,H127)</f>
        <v>0</v>
      </c>
      <c r="I120" s="449">
        <v>0</v>
      </c>
      <c r="J120" s="448">
        <v>0</v>
      </c>
      <c r="K120" s="1123">
        <v>0</v>
      </c>
      <c r="L120" s="1123">
        <v>0</v>
      </c>
      <c r="M120" s="449">
        <f>SUM(M121,M124,M127)</f>
        <v>0</v>
      </c>
      <c r="N120" s="450">
        <f aca="true" t="shared" si="5" ref="N120:N130">IF(M120=0,0,O120/M120*100)</f>
        <v>0</v>
      </c>
      <c r="O120" s="451">
        <f>SUM(O121,O124,O127)</f>
        <v>0</v>
      </c>
      <c r="P120" s="449">
        <f>SUM(P121,P124,P127)</f>
        <v>0</v>
      </c>
      <c r="Q120" s="450">
        <f>IF(P120=0,0,R120/P120*100)</f>
        <v>0</v>
      </c>
      <c r="R120" s="451">
        <f>SUM(R121,R124,R127)</f>
        <v>0</v>
      </c>
    </row>
    <row r="121" spans="1:18" ht="14.25" customHeight="1" hidden="1" thickBot="1">
      <c r="A121" s="380"/>
      <c r="B121" s="1555" t="s">
        <v>135</v>
      </c>
      <c r="C121" s="875">
        <f>'Покупная продукция'!B30</f>
        <v>0</v>
      </c>
      <c r="D121" s="404"/>
      <c r="E121" s="1144">
        <v>0</v>
      </c>
      <c r="F121" s="1144">
        <v>0</v>
      </c>
      <c r="G121" s="1168">
        <v>0</v>
      </c>
      <c r="H121" s="435">
        <f>H122*H123</f>
        <v>0</v>
      </c>
      <c r="I121" s="1094">
        <v>0</v>
      </c>
      <c r="J121" s="1095">
        <v>0</v>
      </c>
      <c r="K121" s="1185">
        <v>0</v>
      </c>
      <c r="L121" s="1185">
        <v>0</v>
      </c>
      <c r="M121" s="436">
        <f>M122*M123</f>
        <v>0</v>
      </c>
      <c r="N121" s="437">
        <f t="shared" si="5"/>
        <v>0</v>
      </c>
      <c r="O121" s="438">
        <f>O122*O123</f>
        <v>0</v>
      </c>
      <c r="P121" s="436">
        <f>P122*P123</f>
        <v>0</v>
      </c>
      <c r="Q121" s="437">
        <f>IF(P121=0,0,R121/P121*100)</f>
        <v>0</v>
      </c>
      <c r="R121" s="438">
        <f>R122*R123</f>
        <v>0</v>
      </c>
    </row>
    <row r="122" spans="1:18" ht="14.25" customHeight="1" hidden="1" thickBot="1">
      <c r="A122" s="380"/>
      <c r="B122" s="1555"/>
      <c r="C122" s="439" t="s">
        <v>124</v>
      </c>
      <c r="D122" s="440" t="s">
        <v>16</v>
      </c>
      <c r="E122" s="374">
        <v>0</v>
      </c>
      <c r="F122" s="374">
        <v>0</v>
      </c>
      <c r="G122" s="782">
        <v>0</v>
      </c>
      <c r="H122" s="872">
        <f>'Покупная продукция'!O30</f>
        <v>0</v>
      </c>
      <c r="I122" s="782">
        <v>0</v>
      </c>
      <c r="J122" s="265">
        <v>0</v>
      </c>
      <c r="K122" s="218">
        <v>0</v>
      </c>
      <c r="L122" s="218">
        <v>0</v>
      </c>
      <c r="M122" s="780">
        <f>'Покупная продукция'!W30</f>
        <v>0</v>
      </c>
      <c r="N122" s="69">
        <f t="shared" si="5"/>
        <v>0</v>
      </c>
      <c r="O122" s="193">
        <f>M122</f>
        <v>0</v>
      </c>
      <c r="P122" s="197">
        <f>M122</f>
        <v>0</v>
      </c>
      <c r="Q122" s="69">
        <f>IF(P122=0,0,R122/P122*100)</f>
        <v>0</v>
      </c>
      <c r="R122" s="193">
        <f>P122</f>
        <v>0</v>
      </c>
    </row>
    <row r="123" spans="1:18" ht="14.25" customHeight="1" hidden="1" thickBot="1">
      <c r="A123" s="380"/>
      <c r="B123" s="1555"/>
      <c r="C123" s="439" t="s">
        <v>125</v>
      </c>
      <c r="D123" s="404" t="s">
        <v>126</v>
      </c>
      <c r="E123" s="463">
        <v>0</v>
      </c>
      <c r="F123" s="463">
        <v>0</v>
      </c>
      <c r="G123" s="782">
        <v>0</v>
      </c>
      <c r="H123" s="873">
        <f>IF('Покупная продукция'!P30=0,0,'Покупная продукция'!P30/'Покупная продукция'!O30)</f>
        <v>0</v>
      </c>
      <c r="I123" s="782">
        <v>0</v>
      </c>
      <c r="J123" s="873">
        <v>0</v>
      </c>
      <c r="K123" s="1122">
        <v>0</v>
      </c>
      <c r="L123" s="1122">
        <v>0</v>
      </c>
      <c r="M123" s="780">
        <f>'Покупная продукция'!X30</f>
        <v>0</v>
      </c>
      <c r="N123" s="1044">
        <f t="shared" si="5"/>
        <v>0</v>
      </c>
      <c r="O123" s="786">
        <f>'Покупная продукция'!AA30</f>
        <v>0</v>
      </c>
      <c r="P123" s="119">
        <f>M123</f>
        <v>0</v>
      </c>
      <c r="Q123" s="511">
        <v>100</v>
      </c>
      <c r="R123" s="161">
        <f>P123*Q123/100</f>
        <v>0</v>
      </c>
    </row>
    <row r="124" spans="1:18" ht="14.25" customHeight="1" hidden="1" thickBot="1">
      <c r="A124" s="380"/>
      <c r="B124" s="1555" t="s">
        <v>136</v>
      </c>
      <c r="C124" s="875">
        <f>'Покупная продукция'!B31</f>
        <v>0</v>
      </c>
      <c r="D124" s="404"/>
      <c r="E124" s="1144">
        <v>0</v>
      </c>
      <c r="F124" s="1144">
        <v>0</v>
      </c>
      <c r="G124" s="1168">
        <v>0</v>
      </c>
      <c r="H124" s="435">
        <f>H125*H126</f>
        <v>0</v>
      </c>
      <c r="I124" s="1094">
        <v>0</v>
      </c>
      <c r="J124" s="1095">
        <v>0</v>
      </c>
      <c r="K124" s="1185">
        <v>0</v>
      </c>
      <c r="L124" s="1185">
        <v>0</v>
      </c>
      <c r="M124" s="436">
        <f>M125*M126</f>
        <v>0</v>
      </c>
      <c r="N124" s="437">
        <f t="shared" si="5"/>
        <v>0</v>
      </c>
      <c r="O124" s="438">
        <f>O125*O126</f>
        <v>0</v>
      </c>
      <c r="P124" s="436">
        <f>P125*P126</f>
        <v>0</v>
      </c>
      <c r="Q124" s="437">
        <f>IF(P124=0,0,R124/P124*100)</f>
        <v>0</v>
      </c>
      <c r="R124" s="438">
        <f>R125*R126</f>
        <v>0</v>
      </c>
    </row>
    <row r="125" spans="1:18" ht="14.25" customHeight="1" hidden="1" thickBot="1">
      <c r="A125" s="380"/>
      <c r="B125" s="1555"/>
      <c r="C125" s="439" t="s">
        <v>124</v>
      </c>
      <c r="D125" s="440" t="s">
        <v>16</v>
      </c>
      <c r="E125" s="374">
        <v>0</v>
      </c>
      <c r="F125" s="374">
        <v>0</v>
      </c>
      <c r="G125" s="782">
        <v>0</v>
      </c>
      <c r="H125" s="872">
        <f>'Покупная продукция'!O31</f>
        <v>0</v>
      </c>
      <c r="I125" s="782">
        <v>0</v>
      </c>
      <c r="J125" s="265">
        <v>0</v>
      </c>
      <c r="K125" s="218">
        <v>0</v>
      </c>
      <c r="L125" s="218">
        <v>0</v>
      </c>
      <c r="M125" s="780">
        <f>'Покупная продукция'!W31</f>
        <v>0</v>
      </c>
      <c r="N125" s="69">
        <f t="shared" si="5"/>
        <v>0</v>
      </c>
      <c r="O125" s="193">
        <f>M125</f>
        <v>0</v>
      </c>
      <c r="P125" s="197">
        <f>M125</f>
        <v>0</v>
      </c>
      <c r="Q125" s="69">
        <f>IF(P125=0,0,R125/P125*100)</f>
        <v>0</v>
      </c>
      <c r="R125" s="193">
        <f>P125</f>
        <v>0</v>
      </c>
    </row>
    <row r="126" spans="1:18" ht="14.25" customHeight="1" hidden="1" thickBot="1">
      <c r="A126" s="380"/>
      <c r="B126" s="1555"/>
      <c r="C126" s="439" t="s">
        <v>125</v>
      </c>
      <c r="D126" s="404" t="s">
        <v>126</v>
      </c>
      <c r="E126" s="463">
        <v>0</v>
      </c>
      <c r="F126" s="463">
        <v>0</v>
      </c>
      <c r="G126" s="782">
        <v>0</v>
      </c>
      <c r="H126" s="873">
        <f>IF('Покупная продукция'!P31=0,0,'Покупная продукция'!P31/'Покупная продукция'!O31)</f>
        <v>0</v>
      </c>
      <c r="I126" s="782">
        <v>0</v>
      </c>
      <c r="J126" s="873">
        <v>0</v>
      </c>
      <c r="K126" s="1122">
        <v>0</v>
      </c>
      <c r="L126" s="1122">
        <v>0</v>
      </c>
      <c r="M126" s="780">
        <f>'Покупная продукция'!X31</f>
        <v>0</v>
      </c>
      <c r="N126" s="1044">
        <f t="shared" si="5"/>
        <v>0</v>
      </c>
      <c r="O126" s="786">
        <f>'Покупная продукция'!AA31</f>
        <v>0</v>
      </c>
      <c r="P126" s="119">
        <f>M126</f>
        <v>0</v>
      </c>
      <c r="Q126" s="511">
        <v>100</v>
      </c>
      <c r="R126" s="161">
        <f>P126*Q126/100</f>
        <v>0</v>
      </c>
    </row>
    <row r="127" spans="1:18" ht="14.25" customHeight="1" hidden="1" thickBot="1">
      <c r="A127" s="380"/>
      <c r="B127" s="1555" t="s">
        <v>137</v>
      </c>
      <c r="C127" s="875">
        <f>'Покупная продукция'!B32</f>
        <v>0</v>
      </c>
      <c r="D127" s="404"/>
      <c r="E127" s="1144">
        <v>0</v>
      </c>
      <c r="F127" s="1144">
        <v>0</v>
      </c>
      <c r="G127" s="1168">
        <v>0</v>
      </c>
      <c r="H127" s="435">
        <f>H128*H129</f>
        <v>0</v>
      </c>
      <c r="I127" s="1094">
        <v>0</v>
      </c>
      <c r="J127" s="1095">
        <v>0</v>
      </c>
      <c r="K127" s="1185">
        <v>0</v>
      </c>
      <c r="L127" s="1185">
        <v>0</v>
      </c>
      <c r="M127" s="436">
        <f>M128*M129</f>
        <v>0</v>
      </c>
      <c r="N127" s="437">
        <f t="shared" si="5"/>
        <v>0</v>
      </c>
      <c r="O127" s="438">
        <f>O128*O129</f>
        <v>0</v>
      </c>
      <c r="P127" s="436">
        <f>P128*P129</f>
        <v>0</v>
      </c>
      <c r="Q127" s="437">
        <f>IF(P127=0,0,R127/P127*100)</f>
        <v>0</v>
      </c>
      <c r="R127" s="438">
        <f>R128*R129</f>
        <v>0</v>
      </c>
    </row>
    <row r="128" spans="1:18" ht="14.25" customHeight="1" hidden="1" thickBot="1">
      <c r="A128" s="380"/>
      <c r="B128" s="1555"/>
      <c r="C128" s="439" t="s">
        <v>124</v>
      </c>
      <c r="D128" s="440" t="s">
        <v>16</v>
      </c>
      <c r="E128" s="374">
        <v>0</v>
      </c>
      <c r="F128" s="374">
        <v>0</v>
      </c>
      <c r="G128" s="782">
        <v>0</v>
      </c>
      <c r="H128" s="872">
        <f>'Покупная продукция'!O32</f>
        <v>0</v>
      </c>
      <c r="I128" s="782">
        <v>0</v>
      </c>
      <c r="J128" s="265">
        <v>0</v>
      </c>
      <c r="K128" s="218">
        <v>0</v>
      </c>
      <c r="L128" s="218">
        <v>0</v>
      </c>
      <c r="M128" s="780">
        <f>'Покупная продукция'!W32</f>
        <v>0</v>
      </c>
      <c r="N128" s="69">
        <f t="shared" si="5"/>
        <v>0</v>
      </c>
      <c r="O128" s="193">
        <f>M128</f>
        <v>0</v>
      </c>
      <c r="P128" s="197">
        <f>M128</f>
        <v>0</v>
      </c>
      <c r="Q128" s="69">
        <f>IF(P128=0,0,R128/P128*100)</f>
        <v>0</v>
      </c>
      <c r="R128" s="193">
        <f>P128</f>
        <v>0</v>
      </c>
    </row>
    <row r="129" spans="1:18" ht="20.25" customHeight="1" hidden="1" thickBot="1">
      <c r="A129" s="380"/>
      <c r="B129" s="1556"/>
      <c r="C129" s="439" t="s">
        <v>125</v>
      </c>
      <c r="D129" s="404" t="s">
        <v>126</v>
      </c>
      <c r="E129" s="463">
        <v>0</v>
      </c>
      <c r="F129" s="463">
        <v>0</v>
      </c>
      <c r="G129" s="782">
        <v>0</v>
      </c>
      <c r="H129" s="873">
        <f>IF('Покупная продукция'!P32=0,0,'Покупная продукция'!P32/'Покупная продукция'!O32)</f>
        <v>0</v>
      </c>
      <c r="I129" s="782">
        <v>0</v>
      </c>
      <c r="J129" s="873">
        <v>0</v>
      </c>
      <c r="K129" s="1122">
        <v>0</v>
      </c>
      <c r="L129" s="1122">
        <v>0</v>
      </c>
      <c r="M129" s="780">
        <f>'Покупная продукция'!X32</f>
        <v>0</v>
      </c>
      <c r="N129" s="1044">
        <f t="shared" si="5"/>
        <v>0</v>
      </c>
      <c r="O129" s="786">
        <f>'Покупная продукция'!AA32</f>
        <v>0</v>
      </c>
      <c r="P129" s="119">
        <f>M129</f>
        <v>0</v>
      </c>
      <c r="Q129" s="511">
        <v>100</v>
      </c>
      <c r="R129" s="161">
        <f>P129*Q129/100</f>
        <v>0</v>
      </c>
    </row>
    <row r="130" spans="1:18" s="485" customFormat="1" ht="21" customHeight="1" thickBot="1">
      <c r="A130" s="481"/>
      <c r="B130" s="381" t="s">
        <v>138</v>
      </c>
      <c r="C130" s="398" t="s">
        <v>139</v>
      </c>
      <c r="D130" s="407" t="s">
        <v>46</v>
      </c>
      <c r="E130" s="1142">
        <v>67</v>
      </c>
      <c r="F130" s="1142">
        <v>67</v>
      </c>
      <c r="G130" s="175">
        <v>67</v>
      </c>
      <c r="H130" s="188">
        <f>SUM(H131:H135)</f>
        <v>59.203</v>
      </c>
      <c r="I130" s="177">
        <v>67</v>
      </c>
      <c r="J130" s="188">
        <v>67</v>
      </c>
      <c r="K130" s="176">
        <v>67</v>
      </c>
      <c r="L130" s="176">
        <v>67</v>
      </c>
      <c r="M130" s="177">
        <f>SUM(M131:M135)</f>
        <v>62</v>
      </c>
      <c r="N130" s="185">
        <f t="shared" si="5"/>
        <v>108.06451612903226</v>
      </c>
      <c r="O130" s="187">
        <f>SUM(O131:O135)</f>
        <v>67</v>
      </c>
      <c r="P130" s="177">
        <f>SUM(P131:P135)</f>
        <v>62</v>
      </c>
      <c r="Q130" s="185">
        <f>IF(P130=0,0,R130/P130*100)</f>
        <v>108.06451612903226</v>
      </c>
      <c r="R130" s="187">
        <f>SUM(R131:R135)</f>
        <v>67</v>
      </c>
    </row>
    <row r="131" spans="1:18" ht="15">
      <c r="A131" s="337"/>
      <c r="B131" s="417" t="s">
        <v>140</v>
      </c>
      <c r="C131" s="418" t="s">
        <v>141</v>
      </c>
      <c r="D131" s="402" t="s">
        <v>46</v>
      </c>
      <c r="E131" s="1140">
        <v>45</v>
      </c>
      <c r="F131" s="1140">
        <v>45.36</v>
      </c>
      <c r="G131" s="212">
        <v>45</v>
      </c>
      <c r="H131" s="264">
        <f>'водный налог'!D50</f>
        <v>37.563</v>
      </c>
      <c r="I131" s="212">
        <v>45</v>
      </c>
      <c r="J131" s="1120">
        <v>45</v>
      </c>
      <c r="K131" s="1120">
        <v>45</v>
      </c>
      <c r="L131" s="1120">
        <v>45</v>
      </c>
      <c r="M131" s="831">
        <f>'водный налог'!E50</f>
        <v>45</v>
      </c>
      <c r="N131" s="213"/>
      <c r="O131" s="192">
        <f>M131</f>
        <v>45</v>
      </c>
      <c r="P131" s="992">
        <f aca="true" t="shared" si="6" ref="P131:P136">M131</f>
        <v>45</v>
      </c>
      <c r="Q131" s="180"/>
      <c r="R131" s="393">
        <f aca="true" t="shared" si="7" ref="R131:R136">O131</f>
        <v>45</v>
      </c>
    </row>
    <row r="132" spans="1:18" ht="15">
      <c r="A132" s="337"/>
      <c r="B132" s="419" t="s">
        <v>142</v>
      </c>
      <c r="C132" s="420" t="s">
        <v>143</v>
      </c>
      <c r="D132" s="404" t="s">
        <v>46</v>
      </c>
      <c r="E132" s="463"/>
      <c r="F132" s="463">
        <v>0</v>
      </c>
      <c r="G132" s="200"/>
      <c r="H132" s="265">
        <f>'земельн. налог '!$G$14</f>
        <v>0</v>
      </c>
      <c r="I132" s="200">
        <v>0</v>
      </c>
      <c r="J132" s="218">
        <v>0</v>
      </c>
      <c r="K132" s="218">
        <v>0</v>
      </c>
      <c r="L132" s="218">
        <v>0</v>
      </c>
      <c r="M132" s="172"/>
      <c r="N132" s="189"/>
      <c r="O132" s="206"/>
      <c r="P132" s="119">
        <f t="shared" si="6"/>
        <v>0</v>
      </c>
      <c r="Q132" s="189"/>
      <c r="R132" s="161">
        <f t="shared" si="7"/>
        <v>0</v>
      </c>
    </row>
    <row r="133" spans="1:18" ht="15">
      <c r="A133" s="337"/>
      <c r="B133" s="419" t="s">
        <v>144</v>
      </c>
      <c r="C133" s="420" t="s">
        <v>145</v>
      </c>
      <c r="D133" s="404" t="s">
        <v>46</v>
      </c>
      <c r="E133" s="463">
        <v>2</v>
      </c>
      <c r="F133" s="463">
        <v>1.64</v>
      </c>
      <c r="G133" s="1171">
        <v>2</v>
      </c>
      <c r="H133" s="788">
        <v>1.64</v>
      </c>
      <c r="I133" s="200">
        <v>2</v>
      </c>
      <c r="J133" s="218">
        <v>2</v>
      </c>
      <c r="K133" s="218">
        <v>2</v>
      </c>
      <c r="L133" s="218">
        <v>2</v>
      </c>
      <c r="M133" s="172">
        <v>2</v>
      </c>
      <c r="N133" s="189"/>
      <c r="O133" s="206">
        <v>2</v>
      </c>
      <c r="P133" s="204">
        <f t="shared" si="6"/>
        <v>2</v>
      </c>
      <c r="Q133" s="189"/>
      <c r="R133" s="161">
        <f t="shared" si="7"/>
        <v>2</v>
      </c>
    </row>
    <row r="134" spans="1:18" ht="31.5" customHeight="1">
      <c r="A134" s="380"/>
      <c r="B134" s="419" t="s">
        <v>146</v>
      </c>
      <c r="C134" s="420" t="s">
        <v>147</v>
      </c>
      <c r="D134" s="404" t="s">
        <v>46</v>
      </c>
      <c r="E134" s="463">
        <v>20</v>
      </c>
      <c r="F134" s="463">
        <v>20</v>
      </c>
      <c r="G134" s="1171">
        <v>20</v>
      </c>
      <c r="H134" s="788">
        <v>20</v>
      </c>
      <c r="I134" s="200">
        <v>20</v>
      </c>
      <c r="J134" s="218">
        <v>20</v>
      </c>
      <c r="K134" s="218">
        <v>20</v>
      </c>
      <c r="L134" s="218">
        <v>20</v>
      </c>
      <c r="M134" s="172">
        <v>15</v>
      </c>
      <c r="N134" s="189"/>
      <c r="O134" s="206">
        <v>20</v>
      </c>
      <c r="P134" s="204">
        <f t="shared" si="6"/>
        <v>15</v>
      </c>
      <c r="Q134" s="189"/>
      <c r="R134" s="161">
        <f t="shared" si="7"/>
        <v>20</v>
      </c>
    </row>
    <row r="135" spans="1:18" ht="18" customHeight="1" thickBot="1">
      <c r="A135" s="380"/>
      <c r="B135" s="421" t="s">
        <v>148</v>
      </c>
      <c r="C135" s="422" t="s">
        <v>149</v>
      </c>
      <c r="D135" s="412" t="s">
        <v>46</v>
      </c>
      <c r="E135" s="1148"/>
      <c r="F135" s="1148"/>
      <c r="G135" s="1172"/>
      <c r="H135" s="830"/>
      <c r="I135" s="202">
        <v>0</v>
      </c>
      <c r="J135" s="997">
        <v>0</v>
      </c>
      <c r="K135" s="997">
        <v>0</v>
      </c>
      <c r="L135" s="997">
        <v>0</v>
      </c>
      <c r="M135" s="170"/>
      <c r="N135" s="267"/>
      <c r="O135" s="207"/>
      <c r="P135" s="205">
        <f t="shared" si="6"/>
        <v>0</v>
      </c>
      <c r="Q135" s="235"/>
      <c r="R135" s="452">
        <f t="shared" si="7"/>
        <v>0</v>
      </c>
    </row>
    <row r="136" spans="1:18" s="485" customFormat="1" ht="30" customHeight="1" thickBot="1">
      <c r="A136" s="810"/>
      <c r="B136" s="453" t="s">
        <v>150</v>
      </c>
      <c r="C136" s="454" t="s">
        <v>151</v>
      </c>
      <c r="D136" s="407" t="s">
        <v>46</v>
      </c>
      <c r="E136" s="1142">
        <v>55</v>
      </c>
      <c r="F136" s="1142">
        <v>55</v>
      </c>
      <c r="G136" s="176"/>
      <c r="H136" s="1075">
        <f>142.97-99.16</f>
        <v>43.81</v>
      </c>
      <c r="I136" s="1179">
        <v>0</v>
      </c>
      <c r="J136" s="186">
        <v>0</v>
      </c>
      <c r="K136" s="1184">
        <v>0</v>
      </c>
      <c r="L136" s="1184">
        <v>0</v>
      </c>
      <c r="M136" s="1076"/>
      <c r="N136" s="186"/>
      <c r="O136" s="791"/>
      <c r="P136" s="1076">
        <f t="shared" si="6"/>
        <v>0</v>
      </c>
      <c r="Q136" s="186"/>
      <c r="R136" s="791">
        <f t="shared" si="7"/>
        <v>0</v>
      </c>
    </row>
    <row r="137" spans="1:18" s="485" customFormat="1" ht="18" customHeight="1" thickBot="1">
      <c r="A137" s="810"/>
      <c r="B137" s="381" t="s">
        <v>285</v>
      </c>
      <c r="C137" s="455" t="s">
        <v>153</v>
      </c>
      <c r="D137" s="407" t="s">
        <v>46</v>
      </c>
      <c r="E137" s="1152">
        <v>3014.099716</v>
      </c>
      <c r="F137" s="1152">
        <v>3126.9191787914383</v>
      </c>
      <c r="G137" s="303">
        <v>3198.19416</v>
      </c>
      <c r="H137" s="304">
        <f>H33+H34+H38+H45+H47+H51+H54+H57+H62+H69+H76+H130+H136</f>
        <v>2862.644074639472</v>
      </c>
      <c r="I137" s="303">
        <v>3197.83232</v>
      </c>
      <c r="J137" s="811">
        <v>3315.16834432</v>
      </c>
      <c r="K137" s="813">
        <v>3197.83232</v>
      </c>
      <c r="L137" s="813">
        <v>3315.16834432</v>
      </c>
      <c r="M137" s="303">
        <f>M33+M34+M38+M45+M47+M51+M54+M57+M62+M69+M76+M130+M136</f>
        <v>3320.4497127199998</v>
      </c>
      <c r="N137" s="305">
        <f>O137/M137*100</f>
        <v>105.34345161139811</v>
      </c>
      <c r="O137" s="304">
        <f>O33+O34+O38+O45+O47+O51+O54+O57+O62+O69+O76+O130+O136</f>
        <v>3497.8763364</v>
      </c>
      <c r="P137" s="303" t="e">
        <f>P33+P34+P38+P45+P47+P51+P54+P57+P62+P69+P76+P130+P136</f>
        <v>#REF!</v>
      </c>
      <c r="Q137" s="185" t="e">
        <f>R137/P137*100</f>
        <v>#REF!</v>
      </c>
      <c r="R137" s="812" t="e">
        <f>R33+R34+R38+R45+R47+R51+R54+R57+R62+R69+R76+R130+R136</f>
        <v>#REF!</v>
      </c>
    </row>
    <row r="138" spans="1:18" ht="20.25" customHeight="1">
      <c r="A138" s="380"/>
      <c r="B138" s="456" t="s">
        <v>152</v>
      </c>
      <c r="C138" s="457" t="s">
        <v>155</v>
      </c>
      <c r="D138" s="458" t="s">
        <v>126</v>
      </c>
      <c r="E138" s="458">
        <v>25.117497633333336</v>
      </c>
      <c r="F138" s="458">
        <v>26.057659823261986</v>
      </c>
      <c r="G138" s="212">
        <v>28.555305</v>
      </c>
      <c r="H138" s="214">
        <f>H137/H26</f>
        <v>33.4030813843579</v>
      </c>
      <c r="I138" s="212">
        <v>28.552074285714287</v>
      </c>
      <c r="J138" s="264">
        <v>29.59971736</v>
      </c>
      <c r="K138" s="1120">
        <v>28.552074285714287</v>
      </c>
      <c r="L138" s="1120">
        <v>29.59971736</v>
      </c>
      <c r="M138" s="212">
        <f>M137/M26</f>
        <v>29.646872435</v>
      </c>
      <c r="N138" s="213">
        <f>IF(M138=0,0,O138/M138*100)</f>
        <v>105.34345161139808</v>
      </c>
      <c r="O138" s="214">
        <f>O137/O26</f>
        <v>31.231038717857142</v>
      </c>
      <c r="P138" s="212" t="e">
        <f>P137/P26</f>
        <v>#REF!</v>
      </c>
      <c r="Q138" s="213" t="e">
        <f>IF(P138=0,0,R138/P138*100)</f>
        <v>#REF!</v>
      </c>
      <c r="R138" s="214" t="e">
        <f>R137/R26</f>
        <v>#REF!</v>
      </c>
    </row>
    <row r="139" spans="1:18" ht="30.75" thickBot="1">
      <c r="A139" s="337"/>
      <c r="B139" s="459" t="s">
        <v>154</v>
      </c>
      <c r="C139" s="460" t="s">
        <v>156</v>
      </c>
      <c r="D139" s="461" t="s">
        <v>126</v>
      </c>
      <c r="E139" s="1153">
        <v>25.117497633333336</v>
      </c>
      <c r="F139" s="1153">
        <v>26.057659823261986</v>
      </c>
      <c r="G139" s="238">
        <v>28.555305</v>
      </c>
      <c r="H139" s="239">
        <f>(H137-H76)/H26</f>
        <v>33.4030813843579</v>
      </c>
      <c r="I139" s="238">
        <v>28.552074285714287</v>
      </c>
      <c r="J139" s="397">
        <v>29.59971736</v>
      </c>
      <c r="K139" s="1116">
        <v>28.552074285714287</v>
      </c>
      <c r="L139" s="1116">
        <v>29.59971736</v>
      </c>
      <c r="M139" s="238">
        <f>(M137-M76)/M26</f>
        <v>29.646872435</v>
      </c>
      <c r="N139" s="235">
        <f>IF(M139=0,0,O139/M139*100)</f>
        <v>105.34345161139808</v>
      </c>
      <c r="O139" s="239">
        <f>(O137-O76)/O26</f>
        <v>31.231038717857142</v>
      </c>
      <c r="P139" s="238" t="e">
        <f>(P137-P76)/P26</f>
        <v>#REF!</v>
      </c>
      <c r="Q139" s="235" t="e">
        <f>IF(P139=0,0,R139/P139*100)</f>
        <v>#REF!</v>
      </c>
      <c r="R139" s="239" t="e">
        <f>(R137-R76)/R26</f>
        <v>#REF!</v>
      </c>
    </row>
    <row r="140" spans="1:18" s="485" customFormat="1" ht="28.5">
      <c r="A140" s="481"/>
      <c r="B140" s="462" t="s">
        <v>157</v>
      </c>
      <c r="C140" s="371" t="s">
        <v>158</v>
      </c>
      <c r="D140" s="826" t="s">
        <v>46</v>
      </c>
      <c r="E140" s="826">
        <v>32</v>
      </c>
      <c r="F140" s="826">
        <v>24</v>
      </c>
      <c r="G140" s="827">
        <v>24</v>
      </c>
      <c r="H140" s="828">
        <f>SUM(H141:H143)</f>
        <v>11.189999999999998</v>
      </c>
      <c r="I140" s="827">
        <v>24</v>
      </c>
      <c r="J140" s="998">
        <v>26</v>
      </c>
      <c r="K140" s="1124">
        <v>24</v>
      </c>
      <c r="L140" s="1124">
        <v>26</v>
      </c>
      <c r="M140" s="827">
        <f>SUM(M141:M143)</f>
        <v>20</v>
      </c>
      <c r="N140" s="829">
        <f>IF(M140=0,0,O140/M140*100)</f>
        <v>100</v>
      </c>
      <c r="O140" s="828">
        <f>SUM(O141:O143)</f>
        <v>20</v>
      </c>
      <c r="P140" s="827">
        <f>SUM(P141:P143)</f>
        <v>20</v>
      </c>
      <c r="Q140" s="829">
        <f>IF(P140=0,0,R140/P140*100)</f>
        <v>130</v>
      </c>
      <c r="R140" s="828">
        <f>SUM(R141:R143)</f>
        <v>26</v>
      </c>
    </row>
    <row r="141" spans="1:18" ht="15.75" customHeight="1" thickBot="1">
      <c r="A141" s="337"/>
      <c r="B141" s="331" t="s">
        <v>159</v>
      </c>
      <c r="C141" s="377" t="s">
        <v>160</v>
      </c>
      <c r="D141" s="463" t="s">
        <v>46</v>
      </c>
      <c r="E141" s="463">
        <v>32</v>
      </c>
      <c r="F141" s="463">
        <v>24</v>
      </c>
      <c r="G141" s="200">
        <v>24</v>
      </c>
      <c r="H141" s="173">
        <f>55-43.81</f>
        <v>11.189999999999998</v>
      </c>
      <c r="I141" s="197">
        <v>24</v>
      </c>
      <c r="J141" s="190">
        <v>26</v>
      </c>
      <c r="K141" s="787">
        <v>24</v>
      </c>
      <c r="L141" s="787">
        <v>26</v>
      </c>
      <c r="M141" s="204">
        <v>20</v>
      </c>
      <c r="N141" s="189"/>
      <c r="O141" s="206">
        <v>20</v>
      </c>
      <c r="P141" s="205">
        <f>M141</f>
        <v>20</v>
      </c>
      <c r="Q141" s="235"/>
      <c r="R141" s="236">
        <v>26</v>
      </c>
    </row>
    <row r="142" spans="1:18" ht="19.5" customHeight="1" thickBot="1">
      <c r="A142" s="464"/>
      <c r="B142" s="465" t="s">
        <v>161</v>
      </c>
      <c r="C142" s="466" t="s">
        <v>162</v>
      </c>
      <c r="D142" s="467" t="s">
        <v>46</v>
      </c>
      <c r="E142" s="467"/>
      <c r="F142" s="467"/>
      <c r="G142" s="202"/>
      <c r="H142" s="171"/>
      <c r="I142" s="198">
        <v>0</v>
      </c>
      <c r="J142" s="1178">
        <v>0</v>
      </c>
      <c r="K142" s="1186">
        <v>0</v>
      </c>
      <c r="L142" s="1186">
        <v>0</v>
      </c>
      <c r="M142" s="240"/>
      <c r="N142" s="468"/>
      <c r="O142" s="207"/>
      <c r="P142" s="1100">
        <f>M142</f>
        <v>0</v>
      </c>
      <c r="Q142" s="480"/>
      <c r="R142" s="1101">
        <f>O142</f>
        <v>0</v>
      </c>
    </row>
    <row r="143" spans="1:18" s="485" customFormat="1" ht="32.25" customHeight="1" hidden="1" thickBot="1">
      <c r="A143" s="820"/>
      <c r="B143" s="456" t="s">
        <v>164</v>
      </c>
      <c r="C143" s="469" t="s">
        <v>182</v>
      </c>
      <c r="D143" s="821" t="s">
        <v>46</v>
      </c>
      <c r="E143" s="1154"/>
      <c r="F143" s="1154"/>
      <c r="G143" s="1173"/>
      <c r="H143" s="822"/>
      <c r="I143" s="1180">
        <v>0</v>
      </c>
      <c r="J143" s="1181">
        <v>0</v>
      </c>
      <c r="K143" s="1187">
        <v>0</v>
      </c>
      <c r="L143" s="1187">
        <v>0</v>
      </c>
      <c r="M143" s="823"/>
      <c r="N143" s="825"/>
      <c r="O143" s="824"/>
      <c r="P143" s="216">
        <f>M143</f>
        <v>0</v>
      </c>
      <c r="Q143" s="414"/>
      <c r="R143" s="791">
        <f>O143</f>
        <v>0</v>
      </c>
    </row>
    <row r="144" spans="1:18" s="485" customFormat="1" ht="22.5" customHeight="1" thickBot="1">
      <c r="A144" s="481"/>
      <c r="B144" s="381" t="s">
        <v>172</v>
      </c>
      <c r="C144" s="455" t="s">
        <v>165</v>
      </c>
      <c r="D144" s="407" t="s">
        <v>46</v>
      </c>
      <c r="E144" s="1155">
        <v>0</v>
      </c>
      <c r="F144" s="1155">
        <v>0</v>
      </c>
      <c r="G144" s="814">
        <v>0</v>
      </c>
      <c r="H144" s="815">
        <f>H145+H147</f>
        <v>0</v>
      </c>
      <c r="I144" s="814">
        <v>0</v>
      </c>
      <c r="J144" s="816">
        <v>0</v>
      </c>
      <c r="K144" s="819">
        <v>0</v>
      </c>
      <c r="L144" s="819">
        <v>0</v>
      </c>
      <c r="M144" s="814">
        <f>M145+M147</f>
        <v>0</v>
      </c>
      <c r="N144" s="817">
        <f>IF(M144=0,0,O144/M144*100)</f>
        <v>0</v>
      </c>
      <c r="O144" s="815">
        <f>O145+O147</f>
        <v>0</v>
      </c>
      <c r="P144" s="814">
        <f>P145+P147</f>
        <v>0</v>
      </c>
      <c r="Q144" s="185">
        <f>IF(P144=0,0,R144/P144*100)</f>
        <v>0</v>
      </c>
      <c r="R144" s="818">
        <f>R145+R147</f>
        <v>0</v>
      </c>
    </row>
    <row r="145" spans="1:18" ht="13.5" customHeight="1" hidden="1">
      <c r="A145" s="337"/>
      <c r="B145" s="471" t="s">
        <v>599</v>
      </c>
      <c r="C145" s="472" t="s">
        <v>985</v>
      </c>
      <c r="D145" s="473" t="s">
        <v>46</v>
      </c>
      <c r="E145" s="473">
        <v>0</v>
      </c>
      <c r="F145" s="473">
        <v>0</v>
      </c>
      <c r="G145" s="212">
        <v>0</v>
      </c>
      <c r="H145" s="214">
        <f>IF(Титульный!$B$19="упрощенная система налогообложения",0,H147*0.25)</f>
        <v>0</v>
      </c>
      <c r="I145" s="212">
        <v>0</v>
      </c>
      <c r="J145" s="264">
        <v>0</v>
      </c>
      <c r="K145" s="1120">
        <v>0</v>
      </c>
      <c r="L145" s="1120">
        <v>0</v>
      </c>
      <c r="M145" s="196">
        <f>IF(Титульный!$B$19="упрощенная система налогообложения",0,M147*0.25)</f>
        <v>0</v>
      </c>
      <c r="N145" s="213"/>
      <c r="O145" s="192">
        <f>IF(Титульный!$B$19="упрощенная система налогообложения",0,O147*0.25)</f>
        <v>0</v>
      </c>
      <c r="P145" s="196">
        <f>IF(Титульный!$B$19="упрощенная система налогообложения",0,P147*0.25)</f>
        <v>0</v>
      </c>
      <c r="Q145" s="213"/>
      <c r="R145" s="192">
        <f>IF(Титульный!$B$19="упрощенная система налогообложения",0,R147*0.25)</f>
        <v>0</v>
      </c>
    </row>
    <row r="146" spans="1:18" ht="42" customHeight="1" hidden="1">
      <c r="A146" s="337"/>
      <c r="B146" s="471" t="s">
        <v>601</v>
      </c>
      <c r="C146" s="472" t="s">
        <v>986</v>
      </c>
      <c r="D146" s="476" t="s">
        <v>46</v>
      </c>
      <c r="E146" s="473"/>
      <c r="F146" s="473"/>
      <c r="G146" s="210"/>
      <c r="H146" s="789"/>
      <c r="I146" s="182">
        <v>0</v>
      </c>
      <c r="J146" s="184">
        <v>0</v>
      </c>
      <c r="K146" s="1117">
        <v>0</v>
      </c>
      <c r="L146" s="1117">
        <v>0</v>
      </c>
      <c r="M146" s="217"/>
      <c r="N146" s="1024"/>
      <c r="O146" s="790"/>
      <c r="P146" s="1023">
        <f>M146</f>
        <v>0</v>
      </c>
      <c r="Q146" s="1024"/>
      <c r="R146" s="790">
        <f>O146</f>
        <v>0</v>
      </c>
    </row>
    <row r="147" spans="1:18" ht="27.75" customHeight="1" hidden="1">
      <c r="A147" s="337"/>
      <c r="B147" s="474" t="s">
        <v>603</v>
      </c>
      <c r="C147" s="475" t="s">
        <v>168</v>
      </c>
      <c r="D147" s="476" t="s">
        <v>46</v>
      </c>
      <c r="E147" s="476">
        <v>0</v>
      </c>
      <c r="F147" s="476">
        <v>0</v>
      </c>
      <c r="G147" s="200">
        <v>0</v>
      </c>
      <c r="H147" s="201">
        <f>SUM(H148:H149)</f>
        <v>0</v>
      </c>
      <c r="I147" s="200">
        <v>0</v>
      </c>
      <c r="J147" s="265">
        <v>0</v>
      </c>
      <c r="K147" s="218">
        <v>0</v>
      </c>
      <c r="L147" s="218">
        <v>0</v>
      </c>
      <c r="M147" s="200">
        <f>SUM(M148:M149)</f>
        <v>0</v>
      </c>
      <c r="N147" s="189"/>
      <c r="O147" s="201">
        <f>SUM(O148:O149)</f>
        <v>0</v>
      </c>
      <c r="P147" s="200">
        <f>SUM(P148:P149)</f>
        <v>0</v>
      </c>
      <c r="Q147" s="189"/>
      <c r="R147" s="201">
        <f>SUM(R148:R149)</f>
        <v>0</v>
      </c>
    </row>
    <row r="148" spans="1:18" ht="32.25" customHeight="1" hidden="1">
      <c r="A148" s="337"/>
      <c r="B148" s="419" t="s">
        <v>966</v>
      </c>
      <c r="C148" s="420" t="s">
        <v>170</v>
      </c>
      <c r="D148" s="463" t="s">
        <v>46</v>
      </c>
      <c r="E148" s="463">
        <v>0</v>
      </c>
      <c r="F148" s="463">
        <v>0</v>
      </c>
      <c r="G148" s="782">
        <v>0</v>
      </c>
      <c r="H148" s="928">
        <f>'Кап. вложения'!F33</f>
        <v>0</v>
      </c>
      <c r="I148" s="780">
        <v>0</v>
      </c>
      <c r="J148" s="1182">
        <v>0</v>
      </c>
      <c r="K148" s="1188">
        <v>0</v>
      </c>
      <c r="L148" s="1188">
        <v>0</v>
      </c>
      <c r="M148" s="780">
        <f>'Кап. вложения'!L33</f>
        <v>0</v>
      </c>
      <c r="N148" s="189">
        <f>IF(M148=0,0,O148/M148*100)</f>
        <v>0</v>
      </c>
      <c r="O148" s="929">
        <f>'Кап. вложения'!N33</f>
        <v>0</v>
      </c>
      <c r="P148" s="197">
        <f>M148</f>
        <v>0</v>
      </c>
      <c r="Q148" s="189">
        <f>IF(P148=0,0,R148/P148*100)</f>
        <v>0</v>
      </c>
      <c r="R148" s="206">
        <f>O148</f>
        <v>0</v>
      </c>
    </row>
    <row r="149" spans="1:18" ht="21.75" customHeight="1" hidden="1" thickBot="1">
      <c r="A149" s="380"/>
      <c r="B149" s="419" t="s">
        <v>967</v>
      </c>
      <c r="C149" s="420" t="s">
        <v>171</v>
      </c>
      <c r="D149" s="463" t="s">
        <v>46</v>
      </c>
      <c r="E149" s="1148"/>
      <c r="F149" s="1148"/>
      <c r="G149" s="202"/>
      <c r="H149" s="171"/>
      <c r="I149" s="198">
        <v>0</v>
      </c>
      <c r="J149" s="1178">
        <v>0</v>
      </c>
      <c r="K149" s="1186">
        <v>0</v>
      </c>
      <c r="L149" s="1186">
        <v>0</v>
      </c>
      <c r="M149" s="1293"/>
      <c r="N149" s="267">
        <f>IF(M149=0,0,O149/M149*100)</f>
        <v>0</v>
      </c>
      <c r="O149" s="207"/>
      <c r="P149" s="198">
        <f>M149</f>
        <v>0</v>
      </c>
      <c r="Q149" s="267">
        <f>IF(P149=0,0,R149/P149*100)</f>
        <v>0</v>
      </c>
      <c r="R149" s="207">
        <f>O149</f>
        <v>0</v>
      </c>
    </row>
    <row r="150" spans="1:18" ht="21.75" customHeight="1" hidden="1" thickBot="1">
      <c r="A150" s="380"/>
      <c r="B150" s="1085"/>
      <c r="C150" s="1092" t="s">
        <v>1040</v>
      </c>
      <c r="D150" s="1086"/>
      <c r="E150" s="1086"/>
      <c r="F150" s="1086"/>
      <c r="G150" s="1174"/>
      <c r="H150" s="174"/>
      <c r="I150" s="1087">
        <v>0</v>
      </c>
      <c r="J150" s="241">
        <v>0</v>
      </c>
      <c r="K150" s="1089">
        <v>0</v>
      </c>
      <c r="L150" s="1089">
        <v>0</v>
      </c>
      <c r="M150" s="1087"/>
      <c r="N150" s="241"/>
      <c r="O150" s="1088"/>
      <c r="P150" s="1087">
        <f>M150</f>
        <v>0</v>
      </c>
      <c r="Q150" s="1090"/>
      <c r="R150" s="1091">
        <f>O150</f>
        <v>0</v>
      </c>
    </row>
    <row r="151" spans="1:18" ht="26.25" customHeight="1" hidden="1" thickBot="1">
      <c r="A151" s="380"/>
      <c r="B151" s="453" t="s">
        <v>174</v>
      </c>
      <c r="C151" s="477" t="s">
        <v>173</v>
      </c>
      <c r="D151" s="478" t="s">
        <v>46</v>
      </c>
      <c r="E151" s="1156"/>
      <c r="F151" s="1156"/>
      <c r="G151" s="1174"/>
      <c r="H151" s="174"/>
      <c r="I151" s="1087">
        <v>0</v>
      </c>
      <c r="J151" s="241">
        <v>0</v>
      </c>
      <c r="K151" s="1089">
        <v>0</v>
      </c>
      <c r="L151" s="1089">
        <v>0</v>
      </c>
      <c r="M151" s="242"/>
      <c r="N151" s="479"/>
      <c r="O151" s="244"/>
      <c r="P151" s="242">
        <f>M151</f>
        <v>0</v>
      </c>
      <c r="Q151" s="480"/>
      <c r="R151" s="306">
        <f>O151</f>
        <v>0</v>
      </c>
    </row>
    <row r="152" spans="1:18" s="485" customFormat="1" ht="33" customHeight="1" thickBot="1">
      <c r="A152" s="481"/>
      <c r="B152" s="453" t="s">
        <v>187</v>
      </c>
      <c r="C152" s="482" t="s">
        <v>175</v>
      </c>
      <c r="D152" s="483" t="s">
        <v>46</v>
      </c>
      <c r="E152" s="1157">
        <v>3046.099716</v>
      </c>
      <c r="F152" s="1157">
        <v>3150.9191787914383</v>
      </c>
      <c r="G152" s="303">
        <v>3222.19416</v>
      </c>
      <c r="H152" s="304">
        <f>H137+H140+H144+H151</f>
        <v>2873.834074639472</v>
      </c>
      <c r="I152" s="246">
        <v>3221.83232</v>
      </c>
      <c r="J152" s="188">
        <v>3341.16834432</v>
      </c>
      <c r="K152" s="813">
        <v>3221.83232</v>
      </c>
      <c r="L152" s="813">
        <v>3341.16834432</v>
      </c>
      <c r="M152" s="303">
        <f>M137+M140+M144+M151</f>
        <v>3340.4497127199998</v>
      </c>
      <c r="N152" s="305">
        <f>O152/M152*100</f>
        <v>105.3114592027649</v>
      </c>
      <c r="O152" s="304">
        <f>O137+O140+O144+O151</f>
        <v>3517.8763364</v>
      </c>
      <c r="P152" s="246" t="e">
        <f>P137+P140+P144+P151</f>
        <v>#REF!</v>
      </c>
      <c r="Q152" s="186" t="e">
        <f>R152/P152*100</f>
        <v>#REF!</v>
      </c>
      <c r="R152" s="187" t="e">
        <f>R137+R140+R144+R151</f>
        <v>#REF!</v>
      </c>
    </row>
    <row r="153" spans="1:18" ht="18.75" customHeight="1">
      <c r="A153" s="337"/>
      <c r="B153" s="417" t="s">
        <v>630</v>
      </c>
      <c r="C153" s="486" t="s">
        <v>177</v>
      </c>
      <c r="D153" s="470" t="s">
        <v>46</v>
      </c>
      <c r="E153" s="470">
        <v>2350.7197160000005</v>
      </c>
      <c r="F153" s="470">
        <v>2424.685275107189</v>
      </c>
      <c r="G153" s="212">
        <v>2496.78416</v>
      </c>
      <c r="H153" s="214">
        <f>H33+H34+H40*H44*12/1000*(1+H46/100)+H63+H65+H68+H76+H141+H136</f>
        <v>2384.8303588394724</v>
      </c>
      <c r="I153" s="212">
        <v>1560.8623200000002</v>
      </c>
      <c r="J153" s="264">
        <v>1670.84234432</v>
      </c>
      <c r="K153" s="1120">
        <v>1560.8623200000002</v>
      </c>
      <c r="L153" s="1120">
        <v>1670.84234432</v>
      </c>
      <c r="M153" s="212">
        <f>M33+M34+M40*M44*12/1000*(1+M46/100)+M63+M65+M68+M76+M141+M136</f>
        <v>1860.0783127200002</v>
      </c>
      <c r="N153" s="213">
        <f aca="true" t="shared" si="8" ref="N153:N162">IF(M153=0,0,O153/M153*100)</f>
        <v>106.87174861434133</v>
      </c>
      <c r="O153" s="214">
        <f>O33+O34+O40*O44*12/1000*(1+O46/100)+O63+O65+O68+O76+O141+O136</f>
        <v>1987.8982184000001</v>
      </c>
      <c r="P153" s="212" t="e">
        <f>P33+P34+P40*P44*12/1000*(1+P46/100)+P63+P65+P68+P76+P141+P136</f>
        <v>#REF!</v>
      </c>
      <c r="Q153" s="213" t="e">
        <f aca="true" t="shared" si="9" ref="Q153:Q161">IF(P153=0,0,R153/P153*100)</f>
        <v>#REF!</v>
      </c>
      <c r="R153" s="214" t="e">
        <f>R33+R34+R40*R44*12/1000*(1+R46/100)+R63+R65+R68+R76+R141+R136</f>
        <v>#REF!</v>
      </c>
    </row>
    <row r="154" spans="1:18" ht="18" customHeight="1">
      <c r="A154" s="337"/>
      <c r="B154" s="419" t="s">
        <v>633</v>
      </c>
      <c r="C154" s="487" t="s">
        <v>179</v>
      </c>
      <c r="D154" s="488" t="s">
        <v>46</v>
      </c>
      <c r="E154" s="488">
        <v>433.24</v>
      </c>
      <c r="F154" s="488">
        <v>454.04512</v>
      </c>
      <c r="G154" s="200">
        <v>448.75</v>
      </c>
      <c r="H154" s="201">
        <f>H51+H54+H41*H44*12/1000*(1+H46/100)</f>
        <v>210.60565579999997</v>
      </c>
      <c r="I154" s="200">
        <v>935.6</v>
      </c>
      <c r="J154" s="265">
        <v>944.956</v>
      </c>
      <c r="K154" s="218">
        <v>935.6</v>
      </c>
      <c r="L154" s="218">
        <v>944.956</v>
      </c>
      <c r="M154" s="200">
        <f>M51+M54+M41*M44*12/1000*(1+M46/100)</f>
        <v>760</v>
      </c>
      <c r="N154" s="189">
        <f t="shared" si="8"/>
        <v>104.93999999999998</v>
      </c>
      <c r="O154" s="201">
        <f>O51+O54+O41*O44*12/1000*(1+O46/100)</f>
        <v>797.544</v>
      </c>
      <c r="P154" s="200">
        <f>P51+P54+P41*P44*12/1000*(1+P46/100)</f>
        <v>935.6</v>
      </c>
      <c r="Q154" s="189">
        <f t="shared" si="9"/>
        <v>101</v>
      </c>
      <c r="R154" s="201">
        <f>R51+R54+R41*R44*12/1000*(1+R46/100)</f>
        <v>944.956</v>
      </c>
    </row>
    <row r="155" spans="1:18" ht="18" customHeight="1">
      <c r="A155" s="337"/>
      <c r="B155" s="417" t="s">
        <v>635</v>
      </c>
      <c r="C155" s="489" t="s">
        <v>181</v>
      </c>
      <c r="D155" s="488" t="s">
        <v>46</v>
      </c>
      <c r="E155" s="488">
        <v>94.62</v>
      </c>
      <c r="F155" s="488">
        <v>99.15878368424826</v>
      </c>
      <c r="G155" s="200">
        <v>99.16</v>
      </c>
      <c r="H155" s="201">
        <f>H70+H72+H75+H61+H73</f>
        <v>99.16</v>
      </c>
      <c r="I155" s="200">
        <v>142.97</v>
      </c>
      <c r="J155" s="265">
        <v>142.97</v>
      </c>
      <c r="K155" s="218">
        <v>142.97</v>
      </c>
      <c r="L155" s="218">
        <v>142.97</v>
      </c>
      <c r="M155" s="200">
        <f>M70+M72+M75+M61+M73</f>
        <v>142.97</v>
      </c>
      <c r="N155" s="189">
        <f t="shared" si="8"/>
        <v>104.94000000000001</v>
      </c>
      <c r="O155" s="201">
        <f>O70+O72+O75+O61+O73</f>
        <v>150.03271800000002</v>
      </c>
      <c r="P155" s="200" t="e">
        <f>P70+P72+P75+P61+P73</f>
        <v>#REF!</v>
      </c>
      <c r="Q155" s="189" t="e">
        <f t="shared" si="9"/>
        <v>#REF!</v>
      </c>
      <c r="R155" s="201" t="e">
        <f>R70+R72+R75+R61+R73</f>
        <v>#REF!</v>
      </c>
    </row>
    <row r="156" spans="1:18" ht="30">
      <c r="A156" s="337"/>
      <c r="B156" s="419" t="s">
        <v>641</v>
      </c>
      <c r="C156" s="489" t="s">
        <v>182</v>
      </c>
      <c r="D156" s="488" t="s">
        <v>46</v>
      </c>
      <c r="E156" s="488">
        <v>0</v>
      </c>
      <c r="F156" s="488">
        <v>0</v>
      </c>
      <c r="G156" s="200">
        <v>0</v>
      </c>
      <c r="H156" s="201">
        <f>H143</f>
        <v>0</v>
      </c>
      <c r="I156" s="200">
        <v>0</v>
      </c>
      <c r="J156" s="265">
        <v>0</v>
      </c>
      <c r="K156" s="218">
        <v>0</v>
      </c>
      <c r="L156" s="218">
        <v>0</v>
      </c>
      <c r="M156" s="200">
        <f>M143</f>
        <v>0</v>
      </c>
      <c r="N156" s="189">
        <f t="shared" si="8"/>
        <v>0</v>
      </c>
      <c r="O156" s="201">
        <f>O143</f>
        <v>0</v>
      </c>
      <c r="P156" s="200">
        <f>P143</f>
        <v>0</v>
      </c>
      <c r="Q156" s="189">
        <f t="shared" si="9"/>
        <v>0</v>
      </c>
      <c r="R156" s="201">
        <f>R143</f>
        <v>0</v>
      </c>
    </row>
    <row r="157" spans="1:18" ht="15">
      <c r="A157" s="337"/>
      <c r="B157" s="417" t="s">
        <v>643</v>
      </c>
      <c r="C157" s="489" t="s">
        <v>183</v>
      </c>
      <c r="D157" s="488" t="s">
        <v>46</v>
      </c>
      <c r="E157" s="488">
        <v>14.5</v>
      </c>
      <c r="F157" s="488">
        <v>14.5</v>
      </c>
      <c r="G157" s="200">
        <v>14.5</v>
      </c>
      <c r="H157" s="201">
        <f>H47</f>
        <v>24.035059999999998</v>
      </c>
      <c r="I157" s="200">
        <v>15.4</v>
      </c>
      <c r="J157" s="265">
        <v>15.4</v>
      </c>
      <c r="K157" s="218">
        <v>15.4</v>
      </c>
      <c r="L157" s="218">
        <v>15.4</v>
      </c>
      <c r="M157" s="200">
        <f>M47</f>
        <v>15.401399999999999</v>
      </c>
      <c r="N157" s="189">
        <f t="shared" si="8"/>
        <v>100</v>
      </c>
      <c r="O157" s="201">
        <f>O47</f>
        <v>15.401399999999999</v>
      </c>
      <c r="P157" s="200">
        <f>P47</f>
        <v>15.4</v>
      </c>
      <c r="Q157" s="189">
        <f t="shared" si="9"/>
        <v>100</v>
      </c>
      <c r="R157" s="201">
        <f>R47</f>
        <v>15.4</v>
      </c>
    </row>
    <row r="158" spans="1:18" ht="33" customHeight="1">
      <c r="A158" s="337"/>
      <c r="B158" s="419" t="s">
        <v>968</v>
      </c>
      <c r="C158" s="489" t="s">
        <v>184</v>
      </c>
      <c r="D158" s="488" t="s">
        <v>46</v>
      </c>
      <c r="E158" s="488">
        <v>86.02</v>
      </c>
      <c r="F158" s="488">
        <v>91.53</v>
      </c>
      <c r="G158" s="200">
        <v>96</v>
      </c>
      <c r="H158" s="201">
        <f>H58+H59+H60</f>
        <v>96</v>
      </c>
      <c r="I158" s="200">
        <v>500</v>
      </c>
      <c r="J158" s="265">
        <v>500</v>
      </c>
      <c r="K158" s="218">
        <v>500</v>
      </c>
      <c r="L158" s="218">
        <v>500</v>
      </c>
      <c r="M158" s="200">
        <f>M58+M59+M60</f>
        <v>500</v>
      </c>
      <c r="N158" s="189">
        <f t="shared" si="8"/>
        <v>100</v>
      </c>
      <c r="O158" s="201">
        <f>O58+O59+O60</f>
        <v>500</v>
      </c>
      <c r="P158" s="200">
        <f>P58+P59+P60</f>
        <v>500</v>
      </c>
      <c r="Q158" s="189">
        <f t="shared" si="9"/>
        <v>100</v>
      </c>
      <c r="R158" s="201">
        <f>R58+R59+R60</f>
        <v>500</v>
      </c>
    </row>
    <row r="159" spans="1:18" ht="30">
      <c r="A159" s="337"/>
      <c r="B159" s="417" t="s">
        <v>969</v>
      </c>
      <c r="C159" s="489" t="s">
        <v>185</v>
      </c>
      <c r="D159" s="488" t="s">
        <v>46</v>
      </c>
      <c r="E159" s="488">
        <v>67</v>
      </c>
      <c r="F159" s="488">
        <v>67</v>
      </c>
      <c r="G159" s="200">
        <v>67</v>
      </c>
      <c r="H159" s="201">
        <f>H130+H145</f>
        <v>59.203</v>
      </c>
      <c r="I159" s="200">
        <v>67</v>
      </c>
      <c r="J159" s="265">
        <v>67</v>
      </c>
      <c r="K159" s="218">
        <v>67</v>
      </c>
      <c r="L159" s="218">
        <v>67</v>
      </c>
      <c r="M159" s="200">
        <f>M130+M145</f>
        <v>62</v>
      </c>
      <c r="N159" s="189">
        <f t="shared" si="8"/>
        <v>108.06451612903226</v>
      </c>
      <c r="O159" s="201">
        <f>O130+O145</f>
        <v>67</v>
      </c>
      <c r="P159" s="200">
        <f>P130+P145</f>
        <v>62</v>
      </c>
      <c r="Q159" s="189">
        <f t="shared" si="9"/>
        <v>108.06451612903226</v>
      </c>
      <c r="R159" s="201">
        <f>R130+R145</f>
        <v>67</v>
      </c>
    </row>
    <row r="160" spans="1:18" ht="19.5" customHeight="1">
      <c r="A160" s="337"/>
      <c r="B160" s="419" t="s">
        <v>970</v>
      </c>
      <c r="C160" s="489" t="s">
        <v>186</v>
      </c>
      <c r="D160" s="488" t="s">
        <v>46</v>
      </c>
      <c r="E160" s="488">
        <v>0</v>
      </c>
      <c r="F160" s="488">
        <v>0</v>
      </c>
      <c r="G160" s="200">
        <v>0</v>
      </c>
      <c r="H160" s="201">
        <f>H147+H142</f>
        <v>0</v>
      </c>
      <c r="I160" s="200">
        <v>0</v>
      </c>
      <c r="J160" s="265">
        <v>0</v>
      </c>
      <c r="K160" s="218">
        <v>0</v>
      </c>
      <c r="L160" s="218">
        <v>0</v>
      </c>
      <c r="M160" s="200">
        <f>M147+M142</f>
        <v>0</v>
      </c>
      <c r="N160" s="189">
        <f t="shared" si="8"/>
        <v>0</v>
      </c>
      <c r="O160" s="201">
        <f>O147+O142</f>
        <v>0</v>
      </c>
      <c r="P160" s="200">
        <f>P147+P142</f>
        <v>0</v>
      </c>
      <c r="Q160" s="189">
        <f t="shared" si="9"/>
        <v>0</v>
      </c>
      <c r="R160" s="201">
        <f>R147+R142</f>
        <v>0</v>
      </c>
    </row>
    <row r="161" spans="1:18" ht="18" customHeight="1" thickBot="1">
      <c r="A161" s="337"/>
      <c r="B161" s="417" t="s">
        <v>971</v>
      </c>
      <c r="C161" s="490" t="s">
        <v>173</v>
      </c>
      <c r="D161" s="467" t="s">
        <v>46</v>
      </c>
      <c r="E161" s="467">
        <v>0</v>
      </c>
      <c r="F161" s="467">
        <v>0</v>
      </c>
      <c r="G161" s="202">
        <v>0</v>
      </c>
      <c r="H161" s="203">
        <f>H151</f>
        <v>0</v>
      </c>
      <c r="I161" s="202">
        <v>0</v>
      </c>
      <c r="J161" s="266">
        <v>0</v>
      </c>
      <c r="K161" s="997">
        <v>0</v>
      </c>
      <c r="L161" s="997">
        <v>0</v>
      </c>
      <c r="M161" s="202">
        <f>M151</f>
        <v>0</v>
      </c>
      <c r="N161" s="267">
        <f t="shared" si="8"/>
        <v>0</v>
      </c>
      <c r="O161" s="203">
        <f>O151</f>
        <v>0</v>
      </c>
      <c r="P161" s="202">
        <f>P151</f>
        <v>0</v>
      </c>
      <c r="Q161" s="267">
        <f t="shared" si="9"/>
        <v>0</v>
      </c>
      <c r="R161" s="203">
        <f>R151</f>
        <v>0</v>
      </c>
    </row>
    <row r="162" spans="1:18" ht="32.25" customHeight="1" thickBot="1">
      <c r="A162" s="337"/>
      <c r="B162" s="453" t="s">
        <v>189</v>
      </c>
      <c r="C162" s="482" t="s">
        <v>691</v>
      </c>
      <c r="D162" s="483" t="s">
        <v>46</v>
      </c>
      <c r="E162" s="1158">
        <v>0</v>
      </c>
      <c r="F162" s="1158">
        <v>0</v>
      </c>
      <c r="G162" s="262">
        <v>0</v>
      </c>
      <c r="H162" s="263">
        <f>H163+H164</f>
        <v>0</v>
      </c>
      <c r="I162" s="246">
        <v>0</v>
      </c>
      <c r="J162" s="188">
        <v>0</v>
      </c>
      <c r="K162" s="1125">
        <v>0</v>
      </c>
      <c r="L162" s="1125">
        <v>0</v>
      </c>
      <c r="M162" s="262">
        <f>M163+M164</f>
        <v>0</v>
      </c>
      <c r="N162" s="241">
        <f t="shared" si="8"/>
        <v>0</v>
      </c>
      <c r="O162" s="263">
        <f>O163+O164</f>
        <v>0</v>
      </c>
      <c r="P162" s="246">
        <f>P163+P164</f>
        <v>0</v>
      </c>
      <c r="Q162" s="237">
        <f>IF(P162=0,0,R162/P162*100)</f>
        <v>0</v>
      </c>
      <c r="R162" s="187">
        <f>R163+R164</f>
        <v>0</v>
      </c>
    </row>
    <row r="163" spans="1:18" ht="32.25" customHeight="1" hidden="1" thickBot="1">
      <c r="A163" s="337"/>
      <c r="B163" s="491" t="s">
        <v>500</v>
      </c>
      <c r="C163" s="492" t="s">
        <v>692</v>
      </c>
      <c r="D163" s="493" t="s">
        <v>46</v>
      </c>
      <c r="E163" s="1158"/>
      <c r="F163" s="1158"/>
      <c r="G163" s="1174"/>
      <c r="H163" s="174"/>
      <c r="I163" s="1174"/>
      <c r="J163" s="1176"/>
      <c r="K163" s="1189"/>
      <c r="L163" s="1189"/>
      <c r="M163" s="243"/>
      <c r="N163" s="241"/>
      <c r="O163" s="174"/>
      <c r="P163" s="243"/>
      <c r="Q163" s="241"/>
      <c r="R163" s="174"/>
    </row>
    <row r="164" spans="1:18" ht="105.75" customHeight="1" hidden="1" thickBot="1">
      <c r="A164" s="337"/>
      <c r="B164" s="491" t="s">
        <v>503</v>
      </c>
      <c r="C164" s="492" t="s">
        <v>693</v>
      </c>
      <c r="D164" s="494" t="s">
        <v>46</v>
      </c>
      <c r="E164" s="1158"/>
      <c r="F164" s="1158"/>
      <c r="G164" s="1174"/>
      <c r="H164" s="174"/>
      <c r="I164" s="1174"/>
      <c r="J164" s="1176"/>
      <c r="K164" s="1189"/>
      <c r="L164" s="1189"/>
      <c r="M164" s="243"/>
      <c r="N164" s="241"/>
      <c r="O164" s="174"/>
      <c r="P164" s="243"/>
      <c r="Q164" s="241"/>
      <c r="R164" s="174"/>
    </row>
    <row r="165" spans="1:18" ht="32.25" customHeight="1" thickBot="1">
      <c r="A165" s="337"/>
      <c r="B165" s="495" t="s">
        <v>191</v>
      </c>
      <c r="C165" s="496" t="s">
        <v>694</v>
      </c>
      <c r="D165" s="497" t="s">
        <v>46</v>
      </c>
      <c r="E165" s="1159">
        <v>3046.099716</v>
      </c>
      <c r="F165" s="1159">
        <v>3150.9191787914383</v>
      </c>
      <c r="G165" s="247">
        <v>3222.19416</v>
      </c>
      <c r="H165" s="248">
        <f aca="true" t="shared" si="10" ref="H165:O165">H152+H162</f>
        <v>2873.834074639472</v>
      </c>
      <c r="I165" s="247">
        <v>3221.83232</v>
      </c>
      <c r="J165" s="249">
        <v>3341.16834432</v>
      </c>
      <c r="K165" s="999">
        <v>3221.83232</v>
      </c>
      <c r="L165" s="999">
        <v>3341.16834432</v>
      </c>
      <c r="M165" s="247">
        <f t="shared" si="10"/>
        <v>3340.4497127199998</v>
      </c>
      <c r="N165" s="249">
        <f t="shared" si="10"/>
        <v>105.3114592027649</v>
      </c>
      <c r="O165" s="248">
        <f t="shared" si="10"/>
        <v>3517.8763364</v>
      </c>
      <c r="P165" s="247" t="e">
        <f>P152+P162</f>
        <v>#REF!</v>
      </c>
      <c r="Q165" s="250" t="e">
        <f>R165/P165*100</f>
        <v>#REF!</v>
      </c>
      <c r="R165" s="248" t="e">
        <f>R152+R162</f>
        <v>#REF!</v>
      </c>
    </row>
    <row r="166" spans="1:18" ht="29.25" thickBot="1">
      <c r="A166" s="337"/>
      <c r="B166" s="498" t="s">
        <v>193</v>
      </c>
      <c r="C166" s="499" t="s">
        <v>188</v>
      </c>
      <c r="D166" s="500" t="s">
        <v>126</v>
      </c>
      <c r="E166" s="1160">
        <v>25.38</v>
      </c>
      <c r="F166" s="1160">
        <v>26.26</v>
      </c>
      <c r="G166" s="251">
        <v>28.77</v>
      </c>
      <c r="H166" s="248">
        <f>ROUND(H165/H26,2)</f>
        <v>33.53</v>
      </c>
      <c r="I166" s="251">
        <v>28.77</v>
      </c>
      <c r="J166" s="254">
        <v>29.83</v>
      </c>
      <c r="K166" s="1000">
        <v>28.77</v>
      </c>
      <c r="L166" s="1000">
        <v>29.83</v>
      </c>
      <c r="M166" s="251">
        <f>ROUND(M165/M26,2)</f>
        <v>29.83</v>
      </c>
      <c r="N166" s="253">
        <f>O166/M166*100</f>
        <v>105.29668119342944</v>
      </c>
      <c r="O166" s="252">
        <f>ROUND(O165/O26,2)</f>
        <v>31.41</v>
      </c>
      <c r="P166" s="251" t="e">
        <f>ROUND(P165/P26,2)</f>
        <v>#REF!</v>
      </c>
      <c r="Q166" s="250" t="e">
        <f>R166/P166*100</f>
        <v>#REF!</v>
      </c>
      <c r="R166" s="252" t="e">
        <f>ROUND(R165/R26,2)</f>
        <v>#REF!</v>
      </c>
    </row>
    <row r="167" spans="1:18" ht="29.25" thickBot="1">
      <c r="A167" s="337"/>
      <c r="B167" s="498" t="s">
        <v>1315</v>
      </c>
      <c r="C167" s="499" t="s">
        <v>1316</v>
      </c>
      <c r="D167" s="500" t="s">
        <v>126</v>
      </c>
      <c r="E167" s="1160"/>
      <c r="F167" s="1160"/>
      <c r="G167" s="251">
        <f>IF($B$11="Система налогооблажения: Общая система налогообложения",ROUND(G166*1.18,2),G166)</f>
        <v>28.77</v>
      </c>
      <c r="H167" s="248">
        <f>IF($B$11="Система налогооблажения: Общая система налогообложения",ROUND(H166*1.18,2),H166)</f>
        <v>33.53</v>
      </c>
      <c r="I167" s="251">
        <f>IF($B$11="Система налогооблажения: Общая система налогообложения",ROUND(I166*1.18,2),I166)</f>
        <v>28.77</v>
      </c>
      <c r="J167" s="254">
        <f>IF($B$11="Система налогооблажения: Общая система налогообложения",ROUND(J166*1.18,2),J166)</f>
        <v>29.83</v>
      </c>
      <c r="K167" s="1000"/>
      <c r="L167" s="1000"/>
      <c r="M167" s="251">
        <f>IF($B$11="Система налогооблажения: Общая система налогообложения",ROUND(M166*1.18,2),M166)</f>
        <v>29.83</v>
      </c>
      <c r="N167" s="253"/>
      <c r="O167" s="252">
        <f>IF($B$11="Система налогооблажения: Общая система налогообложения",ROUND(O166*1.18,2),O166)</f>
        <v>31.41</v>
      </c>
      <c r="P167" s="251"/>
      <c r="Q167" s="253"/>
      <c r="R167" s="252"/>
    </row>
    <row r="168" spans="1:18" s="501" customFormat="1" ht="29.25" thickBot="1">
      <c r="A168" s="380"/>
      <c r="B168" s="381" t="s">
        <v>195</v>
      </c>
      <c r="C168" s="455" t="s">
        <v>190</v>
      </c>
      <c r="D168" s="413" t="s">
        <v>23</v>
      </c>
      <c r="E168" s="1161"/>
      <c r="F168" s="1161"/>
      <c r="G168" s="162">
        <v>109.60000000000001</v>
      </c>
      <c r="H168" s="168"/>
      <c r="I168" s="162">
        <v>100</v>
      </c>
      <c r="J168" s="268">
        <v>103.68439346541535</v>
      </c>
      <c r="K168" s="1126">
        <v>96.44653033858532</v>
      </c>
      <c r="L168" s="1126">
        <v>103.68439346541535</v>
      </c>
      <c r="M168" s="302">
        <f>IF(M166/J166*100&lt;&gt;100,"ОШИБКА",M166/J166*100)</f>
        <v>100</v>
      </c>
      <c r="N168" s="167"/>
      <c r="O168" s="269">
        <f>O166/M166*100</f>
        <v>105.29668119342944</v>
      </c>
      <c r="P168" s="302" t="e">
        <f>P166/J166*100</f>
        <v>#REF!</v>
      </c>
      <c r="Q168" s="167"/>
      <c r="R168" s="168" t="e">
        <f>R166/P166*100</f>
        <v>#REF!</v>
      </c>
    </row>
    <row r="169" spans="1:18" s="501" customFormat="1" ht="23.25" customHeight="1" hidden="1" thickBot="1">
      <c r="A169" s="380"/>
      <c r="B169" s="381" t="s">
        <v>197</v>
      </c>
      <c r="C169" s="455" t="s">
        <v>192</v>
      </c>
      <c r="D169" s="502" t="s">
        <v>126</v>
      </c>
      <c r="E169" s="1162"/>
      <c r="F169" s="1162"/>
      <c r="G169" s="162"/>
      <c r="H169" s="168"/>
      <c r="I169" s="162"/>
      <c r="J169" s="167"/>
      <c r="K169" s="245"/>
      <c r="L169" s="245"/>
      <c r="M169" s="162"/>
      <c r="N169" s="167"/>
      <c r="O169" s="168"/>
      <c r="P169" s="245"/>
      <c r="Q169" s="167"/>
      <c r="R169" s="168"/>
    </row>
    <row r="170" spans="1:18" s="501" customFormat="1" ht="28.5" customHeight="1" hidden="1" thickBot="1">
      <c r="A170" s="380"/>
      <c r="B170" s="381" t="s">
        <v>199</v>
      </c>
      <c r="C170" s="455" t="s">
        <v>194</v>
      </c>
      <c r="D170" s="502" t="s">
        <v>126</v>
      </c>
      <c r="E170" s="1162">
        <v>25.38</v>
      </c>
      <c r="F170" s="1162">
        <v>26.26</v>
      </c>
      <c r="G170" s="162">
        <v>28.77</v>
      </c>
      <c r="H170" s="168">
        <f>H166+H169</f>
        <v>33.53</v>
      </c>
      <c r="I170" s="162">
        <v>28.77</v>
      </c>
      <c r="J170" s="167">
        <v>29.83</v>
      </c>
      <c r="K170" s="245">
        <v>28.77</v>
      </c>
      <c r="L170" s="245">
        <v>29.83</v>
      </c>
      <c r="M170" s="162">
        <f>M166+M169</f>
        <v>29.83</v>
      </c>
      <c r="N170" s="167"/>
      <c r="O170" s="168">
        <f>O166+O169</f>
        <v>31.41</v>
      </c>
      <c r="P170" s="245" t="e">
        <f>P166+P169</f>
        <v>#REF!</v>
      </c>
      <c r="Q170" s="167"/>
      <c r="R170" s="168" t="e">
        <f>R166+R169</f>
        <v>#REF!</v>
      </c>
    </row>
    <row r="171" spans="1:18" s="501" customFormat="1" ht="28.5" customHeight="1" hidden="1" thickBot="1">
      <c r="A171" s="380"/>
      <c r="B171" s="381" t="s">
        <v>695</v>
      </c>
      <c r="C171" s="455" t="s">
        <v>196</v>
      </c>
      <c r="D171" s="413" t="s">
        <v>23</v>
      </c>
      <c r="E171" s="1161"/>
      <c r="F171" s="1161"/>
      <c r="G171" s="162">
        <v>109.60000000000001</v>
      </c>
      <c r="H171" s="168"/>
      <c r="I171" s="162" t="e">
        <v>#DIV/0!</v>
      </c>
      <c r="J171" s="167">
        <v>103.68439346541535</v>
      </c>
      <c r="K171" s="245" t="e">
        <v>#DIV/0!</v>
      </c>
      <c r="L171" s="245">
        <v>103.68439346541535</v>
      </c>
      <c r="M171" s="162">
        <f>M170/J170*100</f>
        <v>100</v>
      </c>
      <c r="N171" s="167"/>
      <c r="O171" s="168">
        <f>O170/M170*100</f>
        <v>105.29668119342944</v>
      </c>
      <c r="P171" s="245" t="e">
        <f>P170/#REF!*100</f>
        <v>#REF!</v>
      </c>
      <c r="Q171" s="167"/>
      <c r="R171" s="168" t="e">
        <f>R170/P170*100</f>
        <v>#REF!</v>
      </c>
    </row>
    <row r="172" spans="1:18" s="501" customFormat="1" ht="15.75" thickBot="1">
      <c r="A172" s="380"/>
      <c r="B172" s="381" t="s">
        <v>696</v>
      </c>
      <c r="C172" s="455" t="s">
        <v>198</v>
      </c>
      <c r="D172" s="413" t="s">
        <v>23</v>
      </c>
      <c r="E172" s="1161">
        <v>0</v>
      </c>
      <c r="F172" s="1161">
        <v>0</v>
      </c>
      <c r="G172" s="162">
        <v>0</v>
      </c>
      <c r="H172" s="168">
        <f>H147/H137*100</f>
        <v>0</v>
      </c>
      <c r="I172" s="162">
        <v>0</v>
      </c>
      <c r="J172" s="167">
        <v>0</v>
      </c>
      <c r="K172" s="245">
        <v>0</v>
      </c>
      <c r="L172" s="245">
        <v>0</v>
      </c>
      <c r="M172" s="162">
        <f>M147/M137*100</f>
        <v>0</v>
      </c>
      <c r="N172" s="167"/>
      <c r="O172" s="168">
        <f>O147/O137*100</f>
        <v>0</v>
      </c>
      <c r="P172" s="245" t="e">
        <f>P147/P137*100</f>
        <v>#REF!</v>
      </c>
      <c r="Q172" s="167"/>
      <c r="R172" s="168" t="e">
        <f>R147/R137*100</f>
        <v>#REF!</v>
      </c>
    </row>
    <row r="173" spans="1:18" ht="15.75" thickBot="1">
      <c r="A173" s="337"/>
      <c r="B173" s="350"/>
      <c r="C173" s="344"/>
      <c r="D173" s="350"/>
      <c r="E173" s="350"/>
      <c r="F173" s="350"/>
      <c r="G173" s="503"/>
      <c r="H173" s="503"/>
      <c r="I173" s="503"/>
      <c r="J173" s="503"/>
      <c r="K173" s="503"/>
      <c r="L173" s="503"/>
      <c r="M173" s="1001"/>
      <c r="N173" s="503"/>
      <c r="O173" s="1002"/>
      <c r="P173" s="503"/>
      <c r="Q173" s="503"/>
      <c r="R173" s="503"/>
    </row>
    <row r="174" spans="1:18" ht="29.25" thickBot="1">
      <c r="A174" s="337"/>
      <c r="B174" s="330" t="s">
        <v>707</v>
      </c>
      <c r="C174" s="120" t="s">
        <v>200</v>
      </c>
      <c r="D174" s="121"/>
      <c r="E174" s="121"/>
      <c r="F174" s="121"/>
      <c r="G174" s="163">
        <v>0</v>
      </c>
      <c r="H174" s="1034"/>
      <c r="I174" s="1036">
        <v>3221.8323200000004</v>
      </c>
      <c r="J174" s="1035">
        <v>3341.16834432</v>
      </c>
      <c r="K174" s="165">
        <v>3221.8323200000004</v>
      </c>
      <c r="L174" s="165">
        <v>3341.16834432</v>
      </c>
      <c r="M174" s="164">
        <f>M175+M179+M180+M181</f>
        <v>3340.4497127200007</v>
      </c>
      <c r="N174" s="169"/>
      <c r="O174" s="166">
        <f>O175+O179+O180+O181</f>
        <v>3517.8763364</v>
      </c>
      <c r="P174" s="164" t="e">
        <f>P175+P179+P180+P181</f>
        <v>#REF!</v>
      </c>
      <c r="Q174" s="169"/>
      <c r="R174" s="165" t="e">
        <f>R175+R179+R180+R181</f>
        <v>#REF!</v>
      </c>
    </row>
    <row r="175" spans="1:18" ht="21" customHeight="1">
      <c r="A175" s="337"/>
      <c r="B175" s="333" t="s">
        <v>972</v>
      </c>
      <c r="C175" s="122" t="s">
        <v>201</v>
      </c>
      <c r="D175" s="123"/>
      <c r="E175" s="1163"/>
      <c r="F175" s="1163"/>
      <c r="G175" s="273"/>
      <c r="H175" s="275"/>
      <c r="I175" s="273">
        <v>3206.4323200000003</v>
      </c>
      <c r="J175" s="275">
        <v>3325.76834432</v>
      </c>
      <c r="K175" s="1127">
        <v>3206.4323200000003</v>
      </c>
      <c r="L175" s="1127">
        <v>3325.76834432</v>
      </c>
      <c r="M175" s="273">
        <f>M176+M177+M178</f>
        <v>3325.0483127200005</v>
      </c>
      <c r="N175" s="274"/>
      <c r="O175" s="275">
        <f>O176+O177+O178</f>
        <v>3502.4749364</v>
      </c>
      <c r="P175" s="273" t="e">
        <f>P176+P177+P178</f>
        <v>#REF!</v>
      </c>
      <c r="Q175" s="274"/>
      <c r="R175" s="275" t="e">
        <f>R176+R177+R178</f>
        <v>#REF!</v>
      </c>
    </row>
    <row r="176" spans="1:18" ht="29.25" customHeight="1">
      <c r="A176" s="337"/>
      <c r="B176" s="332" t="s">
        <v>973</v>
      </c>
      <c r="C176" s="125" t="s">
        <v>994</v>
      </c>
      <c r="D176" s="126" t="s">
        <v>46</v>
      </c>
      <c r="E176" s="1164"/>
      <c r="F176" s="1164"/>
      <c r="G176" s="276">
        <v>2419.03016</v>
      </c>
      <c r="H176" s="277"/>
      <c r="I176" s="276">
        <v>2014.1300800000001</v>
      </c>
      <c r="J176" s="277">
        <v>2083.36192512</v>
      </c>
      <c r="K176" s="1104">
        <v>2014.1300800000001</v>
      </c>
      <c r="L176" s="1104">
        <v>2083.36192512</v>
      </c>
      <c r="M176" s="276">
        <f>M33+M38+M45+M51+M54+(M62-M66)+(M69-M73)</f>
        <v>1898.4060000000002</v>
      </c>
      <c r="N176" s="271"/>
      <c r="O176" s="277">
        <f>O33+O38+O45+O51+O54+(O62-O66)+(O69-O73)</f>
        <v>1992.1872563999998</v>
      </c>
      <c r="P176" s="276" t="e">
        <f>P33+P38+P45+P51+P54+(P62-P66)+(P69-P73)</f>
        <v>#REF!</v>
      </c>
      <c r="Q176" s="271"/>
      <c r="R176" s="277" t="e">
        <f>R33+R38+R45+R51+R54+(R62-R66)+(R69-R73)</f>
        <v>#REF!</v>
      </c>
    </row>
    <row r="177" spans="1:18" ht="52.5" customHeight="1">
      <c r="A177" s="337"/>
      <c r="B177" s="124" t="s">
        <v>974</v>
      </c>
      <c r="C177" s="128" t="s">
        <v>203</v>
      </c>
      <c r="D177" s="126" t="s">
        <v>46</v>
      </c>
      <c r="E177" s="1164"/>
      <c r="F177" s="1164"/>
      <c r="G177" s="276"/>
      <c r="H177" s="277"/>
      <c r="I177" s="276">
        <v>601.3022400000001</v>
      </c>
      <c r="J177" s="277">
        <v>649.4064192000001</v>
      </c>
      <c r="K177" s="1104">
        <v>601.3022400000001</v>
      </c>
      <c r="L177" s="1104">
        <v>649.4064192000001</v>
      </c>
      <c r="M177" s="276">
        <f>M34+M66+M73</f>
        <v>844.6423127200001</v>
      </c>
      <c r="N177" s="271"/>
      <c r="O177" s="277">
        <f>O34+O66+O73</f>
        <v>923.28768</v>
      </c>
      <c r="P177" s="276" t="e">
        <f>P34+P66+P73</f>
        <v>#REF!</v>
      </c>
      <c r="Q177" s="271"/>
      <c r="R177" s="277" t="e">
        <f>R34+R66+R73</f>
        <v>#REF!</v>
      </c>
    </row>
    <row r="178" spans="1:18" ht="28.5" customHeight="1">
      <c r="A178" s="337"/>
      <c r="B178" s="124" t="s">
        <v>975</v>
      </c>
      <c r="C178" s="125" t="s">
        <v>204</v>
      </c>
      <c r="D178" s="126" t="s">
        <v>46</v>
      </c>
      <c r="E178" s="1164"/>
      <c r="F178" s="1164"/>
      <c r="G178" s="276"/>
      <c r="H178" s="277"/>
      <c r="I178" s="276">
        <v>591</v>
      </c>
      <c r="J178" s="277">
        <v>593</v>
      </c>
      <c r="K178" s="1104">
        <v>591</v>
      </c>
      <c r="L178" s="1104">
        <v>593</v>
      </c>
      <c r="M178" s="276">
        <f>(M57+M130+M136+M140+M76+M143+M145)-M142</f>
        <v>582</v>
      </c>
      <c r="N178" s="271"/>
      <c r="O178" s="277">
        <f>(O57+O130+O136+O140+O76+O143+O145)-O142</f>
        <v>587</v>
      </c>
      <c r="P178" s="276">
        <f>(P57+P130+P136+P140+P76+P143+P145)-P142</f>
        <v>582</v>
      </c>
      <c r="Q178" s="271"/>
      <c r="R178" s="277">
        <f>(R57+R130+R136+R140+R76+R143+R145)-R142</f>
        <v>593</v>
      </c>
    </row>
    <row r="179" spans="1:18" ht="18" customHeight="1">
      <c r="A179" s="337"/>
      <c r="B179" s="332" t="s">
        <v>976</v>
      </c>
      <c r="C179" s="129" t="s">
        <v>205</v>
      </c>
      <c r="D179" s="126" t="s">
        <v>46</v>
      </c>
      <c r="E179" s="1164"/>
      <c r="F179" s="1164"/>
      <c r="G179" s="276"/>
      <c r="H179" s="277"/>
      <c r="I179" s="276">
        <v>15.4</v>
      </c>
      <c r="J179" s="277">
        <v>15.4</v>
      </c>
      <c r="K179" s="1104">
        <v>15.4</v>
      </c>
      <c r="L179" s="1104">
        <v>15.4</v>
      </c>
      <c r="M179" s="276">
        <f>M47</f>
        <v>15.401399999999999</v>
      </c>
      <c r="N179" s="271"/>
      <c r="O179" s="277">
        <f>O47</f>
        <v>15.401399999999999</v>
      </c>
      <c r="P179" s="276">
        <f>P47</f>
        <v>15.4</v>
      </c>
      <c r="Q179" s="271"/>
      <c r="R179" s="277">
        <f>R47</f>
        <v>15.4</v>
      </c>
    </row>
    <row r="180" spans="1:18" ht="18" customHeight="1">
      <c r="A180" s="337"/>
      <c r="B180" s="332" t="s">
        <v>977</v>
      </c>
      <c r="C180" s="125" t="s">
        <v>186</v>
      </c>
      <c r="D180" s="126" t="s">
        <v>46</v>
      </c>
      <c r="E180" s="1164"/>
      <c r="F180" s="1164"/>
      <c r="G180" s="276"/>
      <c r="H180" s="277"/>
      <c r="I180" s="276">
        <v>0</v>
      </c>
      <c r="J180" s="277">
        <v>0</v>
      </c>
      <c r="K180" s="1104">
        <v>0</v>
      </c>
      <c r="L180" s="1104">
        <v>0</v>
      </c>
      <c r="M180" s="276">
        <f>M160</f>
        <v>0</v>
      </c>
      <c r="N180" s="271"/>
      <c r="O180" s="277">
        <f>O160</f>
        <v>0</v>
      </c>
      <c r="P180" s="276">
        <f>P160</f>
        <v>0</v>
      </c>
      <c r="Q180" s="271"/>
      <c r="R180" s="277">
        <f>R160</f>
        <v>0</v>
      </c>
    </row>
    <row r="181" spans="1:18" ht="20.25" customHeight="1" thickBot="1">
      <c r="A181" s="337"/>
      <c r="B181" s="334" t="s">
        <v>978</v>
      </c>
      <c r="C181" s="130" t="s">
        <v>173</v>
      </c>
      <c r="D181" s="131" t="s">
        <v>46</v>
      </c>
      <c r="E181" s="1165"/>
      <c r="F181" s="1165"/>
      <c r="G181" s="278"/>
      <c r="H181" s="280"/>
      <c r="I181" s="278">
        <v>0</v>
      </c>
      <c r="J181" s="280">
        <v>0</v>
      </c>
      <c r="K181" s="1128"/>
      <c r="L181" s="1128"/>
      <c r="M181" s="278">
        <f>M161</f>
        <v>0</v>
      </c>
      <c r="N181" s="279"/>
      <c r="O181" s="280">
        <f>O161</f>
        <v>0</v>
      </c>
      <c r="P181" s="278">
        <f>P161</f>
        <v>0</v>
      </c>
      <c r="Q181" s="279"/>
      <c r="R181" s="280">
        <f>R161</f>
        <v>0</v>
      </c>
    </row>
    <row r="182" spans="1:18" ht="15.75" thickBot="1">
      <c r="A182" s="337"/>
      <c r="B182" s="132"/>
      <c r="C182" s="133"/>
      <c r="D182" s="134"/>
      <c r="E182" s="134"/>
      <c r="F182" s="134"/>
      <c r="G182" s="135"/>
      <c r="H182" s="156"/>
      <c r="I182" s="136"/>
      <c r="J182" s="137"/>
      <c r="K182" s="1129"/>
      <c r="L182" s="1129"/>
      <c r="M182" s="138"/>
      <c r="N182" s="1052"/>
      <c r="O182" s="139"/>
      <c r="P182" s="138"/>
      <c r="Q182" s="135"/>
      <c r="R182" s="139"/>
    </row>
    <row r="183" spans="1:18" ht="28.5">
      <c r="A183" s="337"/>
      <c r="B183" s="835">
        <v>18</v>
      </c>
      <c r="C183" s="836" t="s">
        <v>1013</v>
      </c>
      <c r="D183" s="121"/>
      <c r="E183" s="1166"/>
      <c r="F183" s="1166"/>
      <c r="G183" s="276"/>
      <c r="H183" s="277"/>
      <c r="I183" s="276">
        <v>0</v>
      </c>
      <c r="J183" s="277"/>
      <c r="K183" s="1130"/>
      <c r="L183" s="1130"/>
      <c r="M183" s="1541">
        <v>1</v>
      </c>
      <c r="N183" s="1542"/>
      <c r="O183" s="1543"/>
      <c r="P183" s="1541">
        <f>IF(Титульный!$B$5="2016 - 2018",0,1)</f>
        <v>1</v>
      </c>
      <c r="Q183" s="1542"/>
      <c r="R183" s="1543"/>
    </row>
    <row r="184" spans="1:18" ht="24.75" customHeight="1" hidden="1">
      <c r="A184" s="337"/>
      <c r="B184" s="837">
        <v>19</v>
      </c>
      <c r="C184" s="838" t="s">
        <v>796</v>
      </c>
      <c r="D184" s="126"/>
      <c r="E184" s="1164"/>
      <c r="F184" s="1164"/>
      <c r="G184" s="276"/>
      <c r="H184" s="277"/>
      <c r="I184" s="276">
        <v>270.56648378181814</v>
      </c>
      <c r="J184" s="277"/>
      <c r="K184" s="1104"/>
      <c r="L184" s="1104"/>
      <c r="M184" s="1544">
        <f>O176/'ПП ВС'!$F$44</f>
        <v>253.83031871058162</v>
      </c>
      <c r="N184" s="1545"/>
      <c r="O184" s="1546"/>
      <c r="P184" s="1544" t="e">
        <f>R176/'ПП ВС'!$F$44</f>
        <v>#REF!</v>
      </c>
      <c r="Q184" s="1545"/>
      <c r="R184" s="1546"/>
    </row>
    <row r="185" spans="1:18" ht="30" customHeight="1" thickBot="1">
      <c r="A185" s="337"/>
      <c r="B185" s="837">
        <f>B184+1</f>
        <v>20</v>
      </c>
      <c r="C185" s="839" t="s">
        <v>995</v>
      </c>
      <c r="D185" s="126"/>
      <c r="E185" s="1164"/>
      <c r="F185" s="1164"/>
      <c r="G185" s="276"/>
      <c r="H185" s="277"/>
      <c r="I185" s="276">
        <v>6.400000000000006</v>
      </c>
      <c r="J185" s="277"/>
      <c r="K185" s="1130"/>
      <c r="L185" s="1130"/>
      <c r="M185" s="1519">
        <v>6</v>
      </c>
      <c r="N185" s="1539"/>
      <c r="O185" s="1540"/>
      <c r="P185" s="1519">
        <v>6.400000000000006</v>
      </c>
      <c r="Q185" s="1539"/>
      <c r="R185" s="1540"/>
    </row>
    <row r="186" spans="1:18" ht="21.75" customHeight="1" hidden="1" thickBot="1">
      <c r="A186" s="337"/>
      <c r="B186" s="140">
        <f>B185+1</f>
        <v>21</v>
      </c>
      <c r="C186" s="141" t="s">
        <v>207</v>
      </c>
      <c r="D186" s="142"/>
      <c r="E186" s="1166"/>
      <c r="F186" s="1166"/>
      <c r="G186" s="276"/>
      <c r="H186" s="277"/>
      <c r="I186" s="276">
        <v>0</v>
      </c>
      <c r="J186" s="277"/>
      <c r="K186" s="1130"/>
      <c r="L186" s="1130"/>
      <c r="M186" s="1538">
        <v>0</v>
      </c>
      <c r="N186" s="1539"/>
      <c r="O186" s="1540"/>
      <c r="P186" s="1547">
        <v>0</v>
      </c>
      <c r="Q186" s="1548"/>
      <c r="R186" s="1549"/>
    </row>
    <row r="187" spans="1:18" ht="15.75" thickBot="1">
      <c r="A187" s="337"/>
      <c r="B187" s="143"/>
      <c r="C187" s="144"/>
      <c r="D187" s="145"/>
      <c r="E187" s="145"/>
      <c r="F187" s="145"/>
      <c r="G187" s="146"/>
      <c r="H187" s="157"/>
      <c r="I187" s="147"/>
      <c r="J187" s="148"/>
      <c r="K187" s="1131"/>
      <c r="L187" s="1131"/>
      <c r="M187" s="1056"/>
      <c r="N187" s="1057"/>
      <c r="O187" s="1058"/>
      <c r="P187" s="1056"/>
      <c r="Q187" s="1057"/>
      <c r="R187" s="1058"/>
    </row>
    <row r="188" spans="1:18" ht="29.25">
      <c r="A188" s="337"/>
      <c r="B188" s="149">
        <f>B186+1</f>
        <v>22</v>
      </c>
      <c r="C188" s="150" t="s">
        <v>208</v>
      </c>
      <c r="D188" s="151"/>
      <c r="E188" s="1167"/>
      <c r="F188" s="1167"/>
      <c r="G188" s="276" t="s">
        <v>202</v>
      </c>
      <c r="H188" s="277"/>
      <c r="I188" s="276"/>
      <c r="J188" s="272"/>
      <c r="K188" s="1132"/>
      <c r="L188" s="1132"/>
      <c r="M188" s="1060"/>
      <c r="N188" s="123"/>
      <c r="O188" s="1061"/>
      <c r="P188" s="1060"/>
      <c r="Q188" s="123"/>
      <c r="R188" s="1061"/>
    </row>
    <row r="189" spans="1:18" ht="30">
      <c r="A189" s="337"/>
      <c r="B189" s="332" t="s">
        <v>979</v>
      </c>
      <c r="C189" s="152" t="s">
        <v>209</v>
      </c>
      <c r="D189" s="153" t="s">
        <v>46</v>
      </c>
      <c r="E189" s="1167"/>
      <c r="F189" s="1167"/>
      <c r="G189" s="276"/>
      <c r="H189" s="277"/>
      <c r="I189" s="276">
        <v>2048.74600256</v>
      </c>
      <c r="J189" s="272"/>
      <c r="K189" s="1104"/>
      <c r="L189" s="1104"/>
      <c r="M189" s="1528">
        <f>(M176+O176)/2</f>
        <v>1945.2966282</v>
      </c>
      <c r="N189" s="1529"/>
      <c r="O189" s="1530"/>
      <c r="P189" s="1528" t="e">
        <f>(P176+R176)/2</f>
        <v>#REF!</v>
      </c>
      <c r="Q189" s="1529"/>
      <c r="R189" s="1530"/>
    </row>
    <row r="190" spans="1:18" ht="27.75" customHeight="1" hidden="1">
      <c r="A190" s="337"/>
      <c r="B190" s="332" t="s">
        <v>980</v>
      </c>
      <c r="C190" s="152" t="s">
        <v>206</v>
      </c>
      <c r="D190" s="153"/>
      <c r="E190" s="1167"/>
      <c r="F190" s="1167"/>
      <c r="G190" s="276"/>
      <c r="H190" s="277"/>
      <c r="I190" s="276" t="s">
        <v>202</v>
      </c>
      <c r="J190" s="272"/>
      <c r="K190" s="1104"/>
      <c r="L190" s="1104"/>
      <c r="M190" s="1522" t="s">
        <v>202</v>
      </c>
      <c r="N190" s="1523"/>
      <c r="O190" s="1524"/>
      <c r="P190" s="1522" t="s">
        <v>202</v>
      </c>
      <c r="Q190" s="1523"/>
      <c r="R190" s="1524"/>
    </row>
    <row r="191" spans="1:18" ht="15">
      <c r="A191" s="337"/>
      <c r="B191" s="332" t="s">
        <v>981</v>
      </c>
      <c r="C191" s="152" t="s">
        <v>210</v>
      </c>
      <c r="D191" s="153" t="s">
        <v>23</v>
      </c>
      <c r="E191" s="1167"/>
      <c r="F191" s="1167"/>
      <c r="G191" s="276"/>
      <c r="H191" s="277"/>
      <c r="I191" s="276">
        <v>0</v>
      </c>
      <c r="J191" s="272"/>
      <c r="K191" s="1104"/>
      <c r="L191" s="1104"/>
      <c r="M191" s="1525">
        <f>(M180+O180)/(M137+O137)*100</f>
        <v>0</v>
      </c>
      <c r="N191" s="1526"/>
      <c r="O191" s="1527"/>
      <c r="P191" s="1525" t="e">
        <f>(P180+R180)/(P137+R137)*100</f>
        <v>#REF!</v>
      </c>
      <c r="Q191" s="1526"/>
      <c r="R191" s="1527"/>
    </row>
    <row r="192" spans="1:18" ht="30">
      <c r="A192" s="337"/>
      <c r="B192" s="332" t="s">
        <v>982</v>
      </c>
      <c r="C192" s="335" t="s">
        <v>211</v>
      </c>
      <c r="D192" s="153"/>
      <c r="E192" s="1167"/>
      <c r="F192" s="1167"/>
      <c r="G192" s="276"/>
      <c r="H192" s="277"/>
      <c r="I192" s="276"/>
      <c r="J192" s="272"/>
      <c r="K192" s="1104"/>
      <c r="L192" s="1104"/>
      <c r="M192" s="1062"/>
      <c r="N192" s="1059"/>
      <c r="O192" s="1063"/>
      <c r="P192" s="1062"/>
      <c r="Q192" s="1059"/>
      <c r="R192" s="1063"/>
    </row>
    <row r="193" spans="1:18" ht="22.5" customHeight="1" hidden="1" thickBot="1">
      <c r="A193" s="337"/>
      <c r="B193" s="332" t="s">
        <v>983</v>
      </c>
      <c r="C193" s="152" t="s">
        <v>212</v>
      </c>
      <c r="D193" s="153" t="s">
        <v>23</v>
      </c>
      <c r="E193" s="1167"/>
      <c r="F193" s="1167"/>
      <c r="G193" s="276"/>
      <c r="H193" s="277"/>
      <c r="I193" s="276">
        <v>2.608695652173913</v>
      </c>
      <c r="J193" s="272"/>
      <c r="K193" s="1133"/>
      <c r="L193" s="1133"/>
      <c r="M193" s="1532">
        <f>O24/O23*100</f>
        <v>2.608695652173913</v>
      </c>
      <c r="N193" s="1533"/>
      <c r="O193" s="1534"/>
      <c r="P193" s="1532">
        <f>R24/R23*100</f>
        <v>2.608695652173913</v>
      </c>
      <c r="Q193" s="1533"/>
      <c r="R193" s="1534"/>
    </row>
    <row r="194" spans="1:18" s="510" customFormat="1" ht="25.5" customHeight="1" hidden="1" thickBot="1">
      <c r="A194" s="337"/>
      <c r="B194" s="332" t="s">
        <v>984</v>
      </c>
      <c r="C194" s="154" t="s">
        <v>213</v>
      </c>
      <c r="D194" s="155" t="s">
        <v>214</v>
      </c>
      <c r="E194" s="1166"/>
      <c r="F194" s="1166"/>
      <c r="G194" s="276"/>
      <c r="H194" s="277">
        <f>H36/H18</f>
        <v>1.6126221736714443</v>
      </c>
      <c r="I194" s="276">
        <v>1.6556521739130434</v>
      </c>
      <c r="J194" s="277"/>
      <c r="K194" s="1130"/>
      <c r="L194" s="1130"/>
      <c r="M194" s="1519">
        <v>1.6661470085470085</v>
      </c>
      <c r="N194" s="1520"/>
      <c r="O194" s="1521"/>
      <c r="P194" s="1519">
        <f>R36/R23</f>
        <v>1.6556521739130434</v>
      </c>
      <c r="Q194" s="1520"/>
      <c r="R194" s="1521"/>
    </row>
    <row r="195" spans="1:18" ht="15" hidden="1">
      <c r="A195" s="337"/>
      <c r="B195" s="340"/>
      <c r="C195" s="339"/>
      <c r="D195" s="340"/>
      <c r="E195" s="340"/>
      <c r="F195" s="340"/>
      <c r="G195" s="339"/>
      <c r="H195" s="341"/>
      <c r="I195" s="342"/>
      <c r="J195" s="342"/>
      <c r="K195" s="342"/>
      <c r="L195" s="342"/>
      <c r="M195" s="342"/>
      <c r="N195" s="342"/>
      <c r="O195" s="342"/>
      <c r="P195" s="342"/>
      <c r="Q195" s="342"/>
      <c r="R195" s="342"/>
    </row>
    <row r="196" spans="1:18" ht="15" hidden="1">
      <c r="A196" s="337"/>
      <c r="B196" s="340"/>
      <c r="C196" s="339"/>
      <c r="D196" s="340"/>
      <c r="E196" s="340"/>
      <c r="F196" s="340"/>
      <c r="G196" s="339"/>
      <c r="H196" s="341"/>
      <c r="I196" s="342"/>
      <c r="J196" s="342"/>
      <c r="K196" s="342"/>
      <c r="L196" s="342"/>
      <c r="M196" s="342"/>
      <c r="N196" s="342"/>
      <c r="O196" s="342"/>
      <c r="P196" s="342"/>
      <c r="Q196" s="342"/>
      <c r="R196" s="342"/>
    </row>
    <row r="197" spans="1:18" ht="15" customHeight="1" hidden="1">
      <c r="A197" s="337"/>
      <c r="B197" s="340"/>
      <c r="C197" s="1497" t="s">
        <v>215</v>
      </c>
      <c r="D197" s="1497"/>
      <c r="E197" s="504"/>
      <c r="F197" s="504"/>
      <c r="G197" s="504"/>
      <c r="H197" s="505"/>
      <c r="I197" s="1026"/>
      <c r="J197" s="1031"/>
      <c r="K197" s="1031"/>
      <c r="L197" s="1031"/>
      <c r="M197" s="1031"/>
      <c r="N197" s="1028"/>
      <c r="O197" s="342"/>
      <c r="P197" s="342"/>
      <c r="Q197" s="342"/>
      <c r="R197" s="342"/>
    </row>
    <row r="198" spans="1:15" ht="30" customHeight="1" hidden="1">
      <c r="A198" s="337"/>
      <c r="B198" s="340"/>
      <c r="C198" s="504"/>
      <c r="D198" s="504"/>
      <c r="E198" s="504"/>
      <c r="F198" s="504"/>
      <c r="G198" s="504"/>
      <c r="H198" s="505"/>
      <c r="I198" s="1029"/>
      <c r="J198" s="1029"/>
      <c r="K198" s="1029"/>
      <c r="L198" s="1029"/>
      <c r="M198" s="1029"/>
      <c r="N198" s="507"/>
      <c r="O198" s="342"/>
    </row>
    <row r="199" spans="1:15" ht="15" hidden="1">
      <c r="A199" s="337"/>
      <c r="B199" s="340"/>
      <c r="C199" s="504"/>
      <c r="D199" s="504"/>
      <c r="E199" s="504"/>
      <c r="F199" s="504"/>
      <c r="G199" s="504"/>
      <c r="H199" s="505"/>
      <c r="I199" s="348" t="s">
        <v>1</v>
      </c>
      <c r="M199" s="506"/>
      <c r="N199" s="507"/>
      <c r="O199" s="342"/>
    </row>
    <row r="200" spans="1:15" ht="15" customHeight="1" hidden="1">
      <c r="A200" s="337"/>
      <c r="B200" s="340"/>
      <c r="C200" s="1497" t="s">
        <v>216</v>
      </c>
      <c r="D200" s="1497"/>
      <c r="E200" s="1497"/>
      <c r="F200" s="1497"/>
      <c r="G200" s="1497"/>
      <c r="H200" s="505"/>
      <c r="I200" s="1032" t="s">
        <v>217</v>
      </c>
      <c r="J200" s="1030"/>
      <c r="K200" s="1030"/>
      <c r="L200" s="1030"/>
      <c r="M200" s="1030"/>
      <c r="N200" s="1030"/>
      <c r="O200" s="342"/>
    </row>
    <row r="201" spans="1:15" ht="15" hidden="1">
      <c r="A201" s="337"/>
      <c r="B201" s="340"/>
      <c r="C201" s="1500" t="s">
        <v>218</v>
      </c>
      <c r="D201" s="1500"/>
      <c r="E201" s="1500"/>
      <c r="F201" s="1500"/>
      <c r="G201" s="1500"/>
      <c r="H201" s="508"/>
      <c r="I201" s="1030"/>
      <c r="J201" s="1030"/>
      <c r="K201" s="1030"/>
      <c r="L201" s="1030"/>
      <c r="M201" s="1030"/>
      <c r="N201" s="1030"/>
      <c r="O201" s="342"/>
    </row>
    <row r="202" ht="18.75" customHeight="1" hidden="1"/>
    <row r="203" spans="16:18" ht="18.75" customHeight="1" hidden="1">
      <c r="P203" s="1531" t="s">
        <v>793</v>
      </c>
      <c r="Q203" s="1531"/>
      <c r="R203" s="1531"/>
    </row>
    <row r="204" spans="16:18" ht="15" hidden="1">
      <c r="P204" s="946"/>
      <c r="Q204" s="946"/>
      <c r="R204" s="946"/>
    </row>
    <row r="205" spans="8:18" s="957" customFormat="1" ht="15" hidden="1">
      <c r="H205" s="958"/>
      <c r="N205" s="959"/>
      <c r="P205" s="793"/>
      <c r="Q205" s="960"/>
      <c r="R205" s="798" t="s">
        <v>864</v>
      </c>
    </row>
    <row r="206" spans="9:18" ht="13.5" customHeight="1" hidden="1">
      <c r="I206" s="796"/>
      <c r="P206" s="793"/>
      <c r="Q206" s="794"/>
      <c r="R206" s="795"/>
    </row>
    <row r="207" spans="8:18" ht="15" hidden="1">
      <c r="H207" s="343"/>
      <c r="P207" s="1531" t="s">
        <v>794</v>
      </c>
      <c r="Q207" s="1531"/>
      <c r="R207" s="1531"/>
    </row>
    <row r="208" ht="15" hidden="1">
      <c r="H208" s="343"/>
    </row>
    <row r="209" spans="8:18" ht="15" hidden="1">
      <c r="H209" s="343"/>
      <c r="R209" s="797" t="s">
        <v>795</v>
      </c>
    </row>
    <row r="210" ht="15" hidden="1"/>
    <row r="211" ht="15" hidden="1"/>
    <row r="212" ht="15" hidden="1">
      <c r="Q212" s="339" t="s">
        <v>987</v>
      </c>
    </row>
    <row r="213" spans="16:17" ht="15" hidden="1">
      <c r="P213" s="343" t="s">
        <v>1041</v>
      </c>
      <c r="Q213" s="339"/>
    </row>
    <row r="214" spans="16:17" ht="15" hidden="1">
      <c r="P214" s="343" t="s">
        <v>1042</v>
      </c>
      <c r="Q214" s="339"/>
    </row>
    <row r="215" spans="16:17" ht="15" hidden="1">
      <c r="P215" s="343" t="s">
        <v>1043</v>
      </c>
      <c r="Q215" s="339"/>
    </row>
    <row r="216" ht="15" hidden="1">
      <c r="Q216" s="339"/>
    </row>
    <row r="217" spans="16:17" ht="15" hidden="1">
      <c r="P217" s="343" t="s">
        <v>1041</v>
      </c>
      <c r="Q217" s="339"/>
    </row>
    <row r="218" spans="16:17" ht="15" hidden="1">
      <c r="P218" s="343" t="s">
        <v>1042</v>
      </c>
      <c r="Q218" s="339"/>
    </row>
    <row r="219" spans="16:17" ht="15" hidden="1">
      <c r="P219" s="343" t="s">
        <v>1043</v>
      </c>
      <c r="Q219" s="339"/>
    </row>
    <row r="220" ht="15" hidden="1">
      <c r="Q220" s="339"/>
    </row>
    <row r="221" spans="16:17" ht="15" hidden="1">
      <c r="P221" s="343" t="s">
        <v>1041</v>
      </c>
      <c r="Q221" s="339"/>
    </row>
    <row r="222" spans="16:17" ht="15" hidden="1">
      <c r="P222" s="343" t="s">
        <v>1042</v>
      </c>
      <c r="Q222" s="339"/>
    </row>
    <row r="223" spans="16:17" ht="15" hidden="1">
      <c r="P223" s="343" t="s">
        <v>1043</v>
      </c>
      <c r="Q223" s="339"/>
    </row>
    <row r="224" ht="15" hidden="1">
      <c r="Q224" s="339"/>
    </row>
    <row r="225" spans="17:18" ht="15" hidden="1">
      <c r="Q225" s="1025"/>
      <c r="R225" s="1026"/>
    </row>
    <row r="226" spans="17:18" ht="15" hidden="1">
      <c r="Q226" s="1025" t="str">
        <f>MID(Титульный!$B$47,1,SEARCH(" ",Титульный!$B$47)-1)&amp;" "&amp;MID(Титульный!$B$47,SEARCH(" ",Титульный!$B$47)+1,1)&amp;"."&amp;MID(Титульный!$B$47,SEARCH(" ",Титульный!$B$47,SEARCH(" ",Титульный!$B$47)+1)+1,1)&amp;"."</f>
        <v>Седов Ю.В.</v>
      </c>
      <c r="R226" s="1027"/>
    </row>
    <row r="227" ht="15" hidden="1">
      <c r="Q227" s="348" t="s">
        <v>1</v>
      </c>
    </row>
    <row r="228" ht="15" hidden="1">
      <c r="Q228" s="344" t="s">
        <v>2</v>
      </c>
    </row>
    <row r="229" ht="15" hidden="1"/>
  </sheetData>
  <sheetProtection/>
  <mergeCells count="58">
    <mergeCell ref="M4:N4"/>
    <mergeCell ref="B105:B107"/>
    <mergeCell ref="B78:B80"/>
    <mergeCell ref="B81:B83"/>
    <mergeCell ref="B84:B86"/>
    <mergeCell ref="B90:B92"/>
    <mergeCell ref="B13:B15"/>
    <mergeCell ref="J14:J15"/>
    <mergeCell ref="M14:M15"/>
    <mergeCell ref="B93:B95"/>
    <mergeCell ref="B87:B89"/>
    <mergeCell ref="M13:O13"/>
    <mergeCell ref="E13:F13"/>
    <mergeCell ref="E14:E15"/>
    <mergeCell ref="K13:L13"/>
    <mergeCell ref="I13:J13"/>
    <mergeCell ref="D13:D15"/>
    <mergeCell ref="K14:K15"/>
    <mergeCell ref="L14:L15"/>
    <mergeCell ref="B96:B98"/>
    <mergeCell ref="B121:B123"/>
    <mergeCell ref="B99:B101"/>
    <mergeCell ref="B102:B104"/>
    <mergeCell ref="B124:B126"/>
    <mergeCell ref="B127:B129"/>
    <mergeCell ref="M183:O183"/>
    <mergeCell ref="M185:O185"/>
    <mergeCell ref="M184:O184"/>
    <mergeCell ref="N14:N15"/>
    <mergeCell ref="O14:O15"/>
    <mergeCell ref="C13:C15"/>
    <mergeCell ref="G14:G15"/>
    <mergeCell ref="I14:I15"/>
    <mergeCell ref="G13:H13"/>
    <mergeCell ref="C197:D197"/>
    <mergeCell ref="C200:G200"/>
    <mergeCell ref="C201:G201"/>
    <mergeCell ref="M189:O189"/>
    <mergeCell ref="M193:O193"/>
    <mergeCell ref="M191:O191"/>
    <mergeCell ref="M194:O194"/>
    <mergeCell ref="P203:R203"/>
    <mergeCell ref="P207:R207"/>
    <mergeCell ref="P193:R193"/>
    <mergeCell ref="P13:R13"/>
    <mergeCell ref="M190:O190"/>
    <mergeCell ref="M186:O186"/>
    <mergeCell ref="P183:R183"/>
    <mergeCell ref="P185:R185"/>
    <mergeCell ref="P184:R184"/>
    <mergeCell ref="P186:R186"/>
    <mergeCell ref="P14:P15"/>
    <mergeCell ref="Q14:Q15"/>
    <mergeCell ref="R14:R15"/>
    <mergeCell ref="P194:R194"/>
    <mergeCell ref="P190:R190"/>
    <mergeCell ref="P191:R191"/>
    <mergeCell ref="P189:R189"/>
  </mergeCells>
  <conditionalFormatting sqref="A26:L26 P26:IV26">
    <cfRule type="cellIs" priority="9" dxfId="18" operator="equal" stopIfTrue="1">
      <formula>"ошибка"</formula>
    </cfRule>
  </conditionalFormatting>
  <conditionalFormatting sqref="A168:L168 P168:IV168">
    <cfRule type="cellIs" priority="8" dxfId="19" operator="equal" stopIfTrue="1">
      <formula>"ошибка"</formula>
    </cfRule>
  </conditionalFormatting>
  <conditionalFormatting sqref="M26:O26">
    <cfRule type="cellIs" priority="2" dxfId="18" operator="equal" stopIfTrue="1">
      <formula>"ошибка"</formula>
    </cfRule>
  </conditionalFormatting>
  <conditionalFormatting sqref="M168:O168">
    <cfRule type="cellIs" priority="1" dxfId="19" operator="equal" stopIfTrue="1">
      <formula>"ошибка"</formula>
    </cfRule>
  </conditionalFormatting>
  <dataValidations count="3">
    <dataValidation type="decimal" allowBlank="1" showErrorMessage="1" errorTitle="Ошибка" error="Допускается ввод только действительных чисел!" sqref="G33 O46 G35 G44 G46:G49 G52:G53 G55:G56 G58:G61 Q37 G131:G136 H133:H136 H19:I19 O33:Q33 P35:Q35 P40:P41 P44 R46 P46:P49 O52:P53 O55:P56 R58:R61 P64 R132:R136 R169 R141:R143 R145:R146 P18 P20 P22 P24 P71 Q79 Q82 Q85 Q88 Q91 Q111 Q114 Q117 Q122 Q125 Q128 R148:R151 Q94 Q97 Q100 Q103 Q106 M19 N37 M132:M136 O132:P136 I131:L136 I46:M49 I58:M61 G145:M146 G148:M151 G24:M24 G18:M18 G22:M22 G20:M20 G169:M169 G40:M41 G141:M143 I55:M56 I52:M53 I44:M44 I35:N35 I33:M33 O148:P151 O58:P61 O141:P143 O169:P169 O145:P146">
      <formula1>-999999999999999000000000</formula1>
      <formula2>9.99999999999999E+23</formula2>
    </dataValidation>
    <dataValidation type="list" allowBlank="1" showInputMessage="1" sqref="R205">
      <formula1>регулятор</formula1>
    </dataValidation>
    <dataValidation type="list" allowBlank="1" showInputMessage="1" showErrorMessage="1" sqref="H15 F15">
      <formula1>"1, 2, 3, 4, 5, 6, 7, 8, 9, 10, 11, 12"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2:I36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9.140625" style="513" customWidth="1"/>
    <col min="2" max="2" width="23.421875" style="513" customWidth="1"/>
    <col min="3" max="3" width="15.00390625" style="513" customWidth="1"/>
    <col min="4" max="4" width="15.421875" style="513" customWidth="1"/>
    <col min="5" max="5" width="12.00390625" style="513" customWidth="1"/>
    <col min="6" max="6" width="13.140625" style="513" customWidth="1"/>
    <col min="7" max="7" width="10.57421875" style="513" customWidth="1"/>
    <col min="8" max="8" width="10.140625" style="513" customWidth="1"/>
    <col min="9" max="9" width="12.140625" style="513" customWidth="1"/>
    <col min="10" max="16384" width="9.140625" style="513" customWidth="1"/>
  </cols>
  <sheetData>
    <row r="2" spans="1:9" ht="15">
      <c r="A2" s="547" t="s">
        <v>322</v>
      </c>
      <c r="B2" s="547"/>
      <c r="C2" s="547"/>
      <c r="D2" s="547"/>
      <c r="E2" s="548"/>
      <c r="F2" s="548"/>
      <c r="G2" s="548"/>
      <c r="H2" s="548"/>
      <c r="I2" s="548"/>
    </row>
    <row r="3" spans="1:9" ht="15">
      <c r="A3" s="549" t="str">
        <f>Титульный!$B$10</f>
        <v>ООО "Дирекция Голицыно-3"</v>
      </c>
      <c r="B3" s="311"/>
      <c r="C3" s="311"/>
      <c r="D3" s="311"/>
      <c r="E3" s="550"/>
      <c r="F3" s="550"/>
      <c r="G3" s="550"/>
      <c r="H3" s="550"/>
      <c r="I3" s="550"/>
    </row>
    <row r="4" spans="1:9" ht="15">
      <c r="A4" s="551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314"/>
      <c r="C4" s="314"/>
      <c r="D4" s="314"/>
      <c r="E4" s="550"/>
      <c r="F4" s="550"/>
      <c r="G4" s="550"/>
      <c r="H4" s="550"/>
      <c r="I4" s="550"/>
    </row>
    <row r="5" spans="1:9" ht="15">
      <c r="A5" s="550"/>
      <c r="B5" s="550"/>
      <c r="C5" s="550"/>
      <c r="D5" s="550"/>
      <c r="E5" s="550"/>
      <c r="F5" s="550"/>
      <c r="G5" s="550"/>
      <c r="H5" s="550"/>
      <c r="I5" s="550"/>
    </row>
    <row r="6" spans="1:9" ht="15">
      <c r="A6" s="1566" t="s">
        <v>323</v>
      </c>
      <c r="B6" s="1566" t="s">
        <v>324</v>
      </c>
      <c r="C6" s="1566" t="s">
        <v>325</v>
      </c>
      <c r="D6" s="1566" t="s">
        <v>326</v>
      </c>
      <c r="E6" s="1566" t="s">
        <v>327</v>
      </c>
      <c r="F6" s="1566" t="s">
        <v>328</v>
      </c>
      <c r="G6" s="1568"/>
      <c r="H6" s="1569"/>
      <c r="I6" s="1569"/>
    </row>
    <row r="7" spans="1:9" ht="15">
      <c r="A7" s="1566"/>
      <c r="B7" s="1566"/>
      <c r="C7" s="1566"/>
      <c r="D7" s="1566"/>
      <c r="E7" s="1567"/>
      <c r="F7" s="1566">
        <v>2015</v>
      </c>
      <c r="G7" s="1566"/>
      <c r="H7" s="58">
        <v>2016</v>
      </c>
      <c r="I7" s="58">
        <v>2017</v>
      </c>
    </row>
    <row r="8" spans="1:9" ht="15">
      <c r="A8" s="1566"/>
      <c r="B8" s="1566"/>
      <c r="C8" s="1566"/>
      <c r="D8" s="1566"/>
      <c r="E8" s="1567"/>
      <c r="F8" s="58" t="s">
        <v>329</v>
      </c>
      <c r="G8" s="1566" t="s">
        <v>6</v>
      </c>
      <c r="H8" s="1566" t="s">
        <v>330</v>
      </c>
      <c r="I8" s="1566" t="s">
        <v>329</v>
      </c>
    </row>
    <row r="9" spans="1:9" ht="31.5" customHeight="1">
      <c r="A9" s="1567"/>
      <c r="B9" s="1567"/>
      <c r="C9" s="1567"/>
      <c r="D9" s="1567"/>
      <c r="E9" s="1567"/>
      <c r="F9" s="685" t="s">
        <v>467</v>
      </c>
      <c r="G9" s="1567"/>
      <c r="H9" s="1566"/>
      <c r="I9" s="1567"/>
    </row>
    <row r="10" spans="1:9" ht="1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</row>
    <row r="11" spans="1:9" ht="15">
      <c r="A11" s="845">
        <v>1</v>
      </c>
      <c r="B11" s="11" t="s">
        <v>331</v>
      </c>
      <c r="C11" s="11"/>
      <c r="D11" s="11"/>
      <c r="E11" s="11"/>
      <c r="F11" s="12">
        <f>SUM(F12:F14)</f>
        <v>0</v>
      </c>
      <c r="G11" s="12">
        <f>SUM(G12:G14)</f>
        <v>0</v>
      </c>
      <c r="H11" s="12">
        <f>SUM(H12:H14)</f>
        <v>0</v>
      </c>
      <c r="I11" s="12">
        <f>SUM(I12:I14)</f>
        <v>0</v>
      </c>
    </row>
    <row r="12" spans="1:9" ht="15">
      <c r="A12" s="846" t="str">
        <f>A$11&amp;"."&amp;ROW(A1)</f>
        <v>1.1</v>
      </c>
      <c r="B12" s="231"/>
      <c r="C12" s="231"/>
      <c r="D12" s="232"/>
      <c r="E12" s="233"/>
      <c r="F12" s="225"/>
      <c r="G12" s="225"/>
      <c r="H12" s="225"/>
      <c r="I12" s="225"/>
    </row>
    <row r="13" spans="1:9" ht="15">
      <c r="A13" s="846" t="str">
        <f>A$11&amp;"."&amp;ROW(A2)</f>
        <v>1.2</v>
      </c>
      <c r="B13" s="231"/>
      <c r="C13" s="231"/>
      <c r="D13" s="232"/>
      <c r="E13" s="233"/>
      <c r="F13" s="225"/>
      <c r="G13" s="225"/>
      <c r="H13" s="225"/>
      <c r="I13" s="225"/>
    </row>
    <row r="14" spans="1:9" ht="15">
      <c r="A14" s="847"/>
      <c r="B14" s="16" t="s">
        <v>797</v>
      </c>
      <c r="C14" s="15"/>
      <c r="D14" s="15"/>
      <c r="E14" s="15"/>
      <c r="F14" s="15"/>
      <c r="G14" s="15"/>
      <c r="H14" s="15"/>
      <c r="I14" s="15"/>
    </row>
    <row r="15" spans="1:9" ht="15">
      <c r="A15" s="845">
        <v>2</v>
      </c>
      <c r="B15" s="11" t="s">
        <v>333</v>
      </c>
      <c r="C15" s="11"/>
      <c r="D15" s="11"/>
      <c r="E15" s="11"/>
      <c r="F15" s="12">
        <f>SUM(F16:F19)</f>
        <v>88.6</v>
      </c>
      <c r="G15" s="12">
        <f>SUM(G16:G19)</f>
        <v>55.7</v>
      </c>
      <c r="H15" s="12">
        <f>SUM(H16:H19)</f>
        <v>80.6</v>
      </c>
      <c r="I15" s="12">
        <f>SUM(I16:I19)</f>
        <v>80.6</v>
      </c>
    </row>
    <row r="16" spans="1:9" ht="15" hidden="1">
      <c r="A16" s="846" t="s">
        <v>334</v>
      </c>
      <c r="B16" s="14"/>
      <c r="C16" s="11"/>
      <c r="D16" s="11"/>
      <c r="E16" s="11"/>
      <c r="F16" s="11"/>
      <c r="G16" s="11"/>
      <c r="H16" s="11"/>
      <c r="I16" s="11"/>
    </row>
    <row r="17" spans="1:9" ht="22.5" customHeight="1">
      <c r="A17" s="846" t="str">
        <f>A$15&amp;"."&amp;ROW(A1)</f>
        <v>2.1</v>
      </c>
      <c r="B17" s="1080" t="s">
        <v>1020</v>
      </c>
      <c r="C17" s="1080" t="s">
        <v>1021</v>
      </c>
      <c r="D17" s="1081" t="s">
        <v>1022</v>
      </c>
      <c r="E17" s="233" t="s">
        <v>1023</v>
      </c>
      <c r="F17" s="225">
        <v>88.6</v>
      </c>
      <c r="G17" s="225">
        <v>55.7</v>
      </c>
      <c r="H17" s="225">
        <v>80.6</v>
      </c>
      <c r="I17" s="225">
        <v>80.6</v>
      </c>
    </row>
    <row r="18" spans="1:9" ht="22.5" customHeight="1">
      <c r="A18" s="846" t="str">
        <f>A$15&amp;"."&amp;ROW(A2)</f>
        <v>2.2</v>
      </c>
      <c r="B18" s="231"/>
      <c r="C18" s="231"/>
      <c r="D18" s="232"/>
      <c r="E18" s="233"/>
      <c r="F18" s="225"/>
      <c r="G18" s="225"/>
      <c r="H18" s="225"/>
      <c r="I18" s="225"/>
    </row>
    <row r="19" spans="1:9" ht="15">
      <c r="A19" s="847"/>
      <c r="B19" s="16" t="s">
        <v>797</v>
      </c>
      <c r="C19" s="15"/>
      <c r="D19" s="15"/>
      <c r="E19" s="15"/>
      <c r="F19" s="15"/>
      <c r="G19" s="15"/>
      <c r="H19" s="15"/>
      <c r="I19" s="15"/>
    </row>
    <row r="20" spans="1:9" ht="15">
      <c r="A20" s="845">
        <v>3</v>
      </c>
      <c r="B20" s="11" t="s">
        <v>335</v>
      </c>
      <c r="C20" s="11"/>
      <c r="D20" s="11"/>
      <c r="E20" s="11"/>
      <c r="F20" s="12">
        <f>SUM(F21:F24)</f>
        <v>0</v>
      </c>
      <c r="G20" s="12">
        <f>SUM(G21:G24)</f>
        <v>0</v>
      </c>
      <c r="H20" s="12">
        <f>SUM(H21:H24)</f>
        <v>0</v>
      </c>
      <c r="I20" s="12">
        <f>SUM(I21:I24)</f>
        <v>0</v>
      </c>
    </row>
    <row r="21" spans="1:9" ht="15" hidden="1">
      <c r="A21" s="846" t="s">
        <v>226</v>
      </c>
      <c r="B21" s="14"/>
      <c r="C21" s="11"/>
      <c r="D21" s="11"/>
      <c r="E21" s="11"/>
      <c r="F21" s="11"/>
      <c r="G21" s="11"/>
      <c r="H21" s="11"/>
      <c r="I21" s="11"/>
    </row>
    <row r="22" spans="1:9" ht="15">
      <c r="A22" s="846" t="str">
        <f>A$20&amp;"."&amp;ROW(A1)</f>
        <v>3.1</v>
      </c>
      <c r="B22" s="226"/>
      <c r="C22" s="226"/>
      <c r="D22" s="234"/>
      <c r="E22" s="233"/>
      <c r="F22" s="225"/>
      <c r="G22" s="225"/>
      <c r="H22" s="225"/>
      <c r="I22" s="225"/>
    </row>
    <row r="23" spans="1:9" ht="15">
      <c r="A23" s="846" t="str">
        <f>A$20&amp;"."&amp;ROW(A2)</f>
        <v>3.2</v>
      </c>
      <c r="B23" s="226"/>
      <c r="C23" s="226"/>
      <c r="D23" s="234"/>
      <c r="E23" s="233"/>
      <c r="F23" s="225"/>
      <c r="G23" s="225"/>
      <c r="H23" s="225"/>
      <c r="I23" s="225"/>
    </row>
    <row r="24" spans="1:9" ht="15">
      <c r="A24" s="847"/>
      <c r="B24" s="16" t="s">
        <v>797</v>
      </c>
      <c r="C24" s="15"/>
      <c r="D24" s="15"/>
      <c r="E24" s="15"/>
      <c r="F24" s="15"/>
      <c r="G24" s="15"/>
      <c r="H24" s="15"/>
      <c r="I24" s="15"/>
    </row>
    <row r="25" spans="1:9" ht="15">
      <c r="A25" s="845">
        <v>4</v>
      </c>
      <c r="B25" s="11" t="s">
        <v>336</v>
      </c>
      <c r="C25" s="11"/>
      <c r="D25" s="11"/>
      <c r="E25" s="11"/>
      <c r="F25" s="12">
        <f>SUM(F26:F28)</f>
        <v>31.4</v>
      </c>
      <c r="G25" s="12">
        <f>SUM(G26:G28)</f>
        <v>30</v>
      </c>
      <c r="H25" s="12">
        <f>SUM(H26:H28)</f>
        <v>31.4</v>
      </c>
      <c r="I25" s="12">
        <f>SUM(I26:I28)</f>
        <v>31.4</v>
      </c>
    </row>
    <row r="26" spans="1:9" ht="15">
      <c r="A26" s="846" t="str">
        <f>A$25&amp;"."&amp;ROW(A1)</f>
        <v>4.1</v>
      </c>
      <c r="B26" s="1080" t="s">
        <v>1019</v>
      </c>
      <c r="C26" s="226" t="s">
        <v>1024</v>
      </c>
      <c r="D26" s="234" t="s">
        <v>1025</v>
      </c>
      <c r="E26" s="233" t="s">
        <v>1023</v>
      </c>
      <c r="F26" s="225">
        <v>31.4</v>
      </c>
      <c r="G26" s="225">
        <v>30</v>
      </c>
      <c r="H26" s="225">
        <v>31.4</v>
      </c>
      <c r="I26" s="225">
        <v>31.4</v>
      </c>
    </row>
    <row r="27" spans="1:9" ht="15">
      <c r="A27" s="846" t="str">
        <f>A$25&amp;"."&amp;ROW(A2)</f>
        <v>4.2</v>
      </c>
      <c r="B27" s="226"/>
      <c r="C27" s="226"/>
      <c r="D27" s="234"/>
      <c r="E27" s="233"/>
      <c r="F27" s="225"/>
      <c r="G27" s="225"/>
      <c r="H27" s="225"/>
      <c r="I27" s="225"/>
    </row>
    <row r="28" spans="1:9" ht="15">
      <c r="A28" s="847"/>
      <c r="B28" s="16" t="s">
        <v>797</v>
      </c>
      <c r="C28" s="15"/>
      <c r="D28" s="15"/>
      <c r="E28" s="15"/>
      <c r="F28" s="15"/>
      <c r="G28" s="15"/>
      <c r="H28" s="15"/>
      <c r="I28" s="15"/>
    </row>
    <row r="29" spans="1:9" ht="15">
      <c r="A29" s="845">
        <v>5</v>
      </c>
      <c r="B29" s="11" t="s">
        <v>338</v>
      </c>
      <c r="C29" s="11"/>
      <c r="D29" s="11"/>
      <c r="E29" s="11"/>
      <c r="F29" s="225"/>
      <c r="G29" s="225"/>
      <c r="H29" s="225"/>
      <c r="I29" s="225"/>
    </row>
    <row r="30" spans="1:9" ht="15">
      <c r="A30" s="845">
        <v>6</v>
      </c>
      <c r="B30" s="14" t="s">
        <v>339</v>
      </c>
      <c r="C30" s="11"/>
      <c r="D30" s="11"/>
      <c r="E30" s="11"/>
      <c r="F30" s="12">
        <f>F11+F15+F20+F25+F29</f>
        <v>120</v>
      </c>
      <c r="G30" s="12">
        <f>G11+G15+G20+G25+G29</f>
        <v>85.7</v>
      </c>
      <c r="H30" s="12">
        <f>H11+H15+H20+H25+H29</f>
        <v>112</v>
      </c>
      <c r="I30" s="12">
        <f>I11+I15+I20+I25+I29</f>
        <v>112</v>
      </c>
    </row>
    <row r="33" ht="15">
      <c r="A33" s="884" t="s">
        <v>350</v>
      </c>
    </row>
    <row r="34" ht="15">
      <c r="A34" s="885"/>
    </row>
    <row r="35" spans="1:2" ht="15">
      <c r="A35" s="886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  <c r="B35" s="568"/>
    </row>
    <row r="36" ht="15">
      <c r="B36" s="1008" t="s">
        <v>219</v>
      </c>
    </row>
  </sheetData>
  <sheetProtection password="CF72" sheet="1" objects="1" scenarios="1" formatColumns="0"/>
  <mergeCells count="10">
    <mergeCell ref="A6:A9"/>
    <mergeCell ref="B6:B9"/>
    <mergeCell ref="C6:C9"/>
    <mergeCell ref="D6:D9"/>
    <mergeCell ref="E6:E9"/>
    <mergeCell ref="F6:I6"/>
    <mergeCell ref="F7:G7"/>
    <mergeCell ref="G8:G9"/>
    <mergeCell ref="H8:H9"/>
    <mergeCell ref="I8:I9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17:D18 B22:D23">
      <formula1>900</formula1>
    </dataValidation>
    <dataValidation type="decimal" allowBlank="1" showErrorMessage="1" errorTitle="Ошибка" error="Допускается ввод только действительных чисел!" sqref="F29:I29 F17:I18 F22:I23">
      <formula1>-999999999999999000000000</formula1>
      <formula2>9.99999999999999E+23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N32"/>
  <sheetViews>
    <sheetView zoomScalePageLayoutView="0" workbookViewId="0" topLeftCell="A1">
      <selection activeCell="B21" sqref="B21:B22"/>
    </sheetView>
  </sheetViews>
  <sheetFormatPr defaultColWidth="9.140625" defaultRowHeight="15"/>
  <cols>
    <col min="1" max="1" width="6.57421875" style="513" customWidth="1"/>
    <col min="2" max="2" width="42.421875" style="513" customWidth="1"/>
    <col min="3" max="3" width="14.421875" style="513" customWidth="1"/>
    <col min="4" max="4" width="11.8515625" style="513" customWidth="1"/>
    <col min="5" max="5" width="17.421875" style="513" customWidth="1"/>
    <col min="6" max="6" width="14.00390625" style="513" customWidth="1"/>
    <col min="7" max="8" width="11.8515625" style="513" customWidth="1"/>
    <col min="9" max="9" width="14.421875" style="513" customWidth="1"/>
    <col min="10" max="10" width="11.8515625" style="513" customWidth="1"/>
    <col min="11" max="11" width="17.421875" style="513" customWidth="1"/>
    <col min="12" max="12" width="14.00390625" style="513" customWidth="1"/>
    <col min="13" max="14" width="11.8515625" style="513" customWidth="1"/>
    <col min="15" max="16384" width="9.140625" style="513" customWidth="1"/>
  </cols>
  <sheetData>
    <row r="2" spans="1:14" ht="15">
      <c r="A2" s="554" t="s">
        <v>1288</v>
      </c>
      <c r="B2" s="555"/>
      <c r="C2" s="555"/>
      <c r="D2" s="555"/>
      <c r="E2" s="555"/>
      <c r="F2" s="555"/>
      <c r="G2" s="556"/>
      <c r="H2" s="557"/>
      <c r="I2" s="555"/>
      <c r="J2" s="555"/>
      <c r="K2" s="555"/>
      <c r="L2" s="555"/>
      <c r="M2" s="556"/>
      <c r="N2" s="557"/>
    </row>
    <row r="3" spans="1:14" ht="15">
      <c r="A3" s="549" t="str">
        <f>Титульный!$B$10</f>
        <v>ООО "Дирекция Голицыно-3"</v>
      </c>
      <c r="B3" s="311"/>
      <c r="C3" s="311"/>
      <c r="D3" s="311"/>
      <c r="E3" s="311"/>
      <c r="F3" s="311"/>
      <c r="G3" s="557"/>
      <c r="H3" s="557"/>
      <c r="I3" s="311"/>
      <c r="J3" s="311"/>
      <c r="K3" s="311"/>
      <c r="L3" s="311"/>
      <c r="M3" s="557"/>
      <c r="N3" s="557"/>
    </row>
    <row r="4" spans="1:14" ht="15">
      <c r="A4" s="551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314"/>
      <c r="C4" s="314"/>
      <c r="D4" s="314"/>
      <c r="E4" s="314"/>
      <c r="F4" s="314"/>
      <c r="G4" s="557"/>
      <c r="H4" s="557"/>
      <c r="I4" s="314"/>
      <c r="J4" s="314"/>
      <c r="K4" s="314"/>
      <c r="L4" s="314"/>
      <c r="M4" s="557"/>
      <c r="N4" s="557"/>
    </row>
    <row r="5" spans="1:14" ht="15">
      <c r="A5" s="558"/>
      <c r="B5" s="558"/>
      <c r="C5" s="558" t="s">
        <v>1289</v>
      </c>
      <c r="D5" s="558"/>
      <c r="E5" s="558"/>
      <c r="F5" s="558"/>
      <c r="G5" s="558"/>
      <c r="H5" s="558"/>
      <c r="I5" s="558" t="s">
        <v>1290</v>
      </c>
      <c r="J5" s="558"/>
      <c r="K5" s="558"/>
      <c r="L5" s="558"/>
      <c r="M5" s="558"/>
      <c r="N5" s="558"/>
    </row>
    <row r="6" spans="1:14" ht="15" customHeight="1">
      <c r="A6" s="1567" t="s">
        <v>238</v>
      </c>
      <c r="B6" s="1566" t="s">
        <v>340</v>
      </c>
      <c r="C6" s="1566" t="s">
        <v>341</v>
      </c>
      <c r="D6" s="1566" t="s">
        <v>342</v>
      </c>
      <c r="E6" s="1566" t="s">
        <v>343</v>
      </c>
      <c r="F6" s="1566" t="s">
        <v>706</v>
      </c>
      <c r="G6" s="1566" t="s">
        <v>344</v>
      </c>
      <c r="H6" s="1566" t="s">
        <v>346</v>
      </c>
      <c r="I6" s="1566" t="s">
        <v>341</v>
      </c>
      <c r="J6" s="1566" t="s">
        <v>342</v>
      </c>
      <c r="K6" s="1566" t="s">
        <v>343</v>
      </c>
      <c r="L6" s="1566" t="s">
        <v>706</v>
      </c>
      <c r="M6" s="1566" t="s">
        <v>344</v>
      </c>
      <c r="N6" s="1566" t="s">
        <v>346</v>
      </c>
    </row>
    <row r="7" spans="1:14" ht="33" customHeight="1">
      <c r="A7" s="1567"/>
      <c r="B7" s="1566"/>
      <c r="C7" s="1566"/>
      <c r="D7" s="1567"/>
      <c r="E7" s="1567"/>
      <c r="F7" s="1567"/>
      <c r="G7" s="1567"/>
      <c r="H7" s="1567"/>
      <c r="I7" s="1566"/>
      <c r="J7" s="1567"/>
      <c r="K7" s="1567"/>
      <c r="L7" s="1567"/>
      <c r="M7" s="1567"/>
      <c r="N7" s="1567"/>
    </row>
    <row r="8" spans="1:14" ht="15.75" customHeight="1">
      <c r="A8" s="1567"/>
      <c r="B8" s="1566"/>
      <c r="C8" s="58" t="s">
        <v>347</v>
      </c>
      <c r="D8" s="552" t="s">
        <v>16</v>
      </c>
      <c r="E8" s="552" t="s">
        <v>348</v>
      </c>
      <c r="F8" s="552" t="s">
        <v>50</v>
      </c>
      <c r="G8" s="552" t="s">
        <v>46</v>
      </c>
      <c r="H8" s="552" t="s">
        <v>46</v>
      </c>
      <c r="I8" s="58" t="s">
        <v>347</v>
      </c>
      <c r="J8" s="552" t="s">
        <v>16</v>
      </c>
      <c r="K8" s="552" t="s">
        <v>348</v>
      </c>
      <c r="L8" s="552" t="s">
        <v>50</v>
      </c>
      <c r="M8" s="552" t="s">
        <v>46</v>
      </c>
      <c r="N8" s="552" t="s">
        <v>46</v>
      </c>
    </row>
    <row r="9" spans="1:14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9</v>
      </c>
      <c r="I9" s="9">
        <v>3</v>
      </c>
      <c r="J9" s="9">
        <v>4</v>
      </c>
      <c r="K9" s="9">
        <v>5</v>
      </c>
      <c r="L9" s="9">
        <v>6</v>
      </c>
      <c r="M9" s="9">
        <v>7</v>
      </c>
      <c r="N9" s="9">
        <v>9</v>
      </c>
    </row>
    <row r="10" spans="1:14" ht="15">
      <c r="A10" s="848">
        <v>1</v>
      </c>
      <c r="B10" s="63" t="s">
        <v>351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ht="18.75" customHeight="1">
      <c r="A11" s="849" t="str">
        <f>A$10&amp;"."&amp;ROW(A1)</f>
        <v>1.1</v>
      </c>
      <c r="B11" s="285"/>
      <c r="C11" s="229"/>
      <c r="D11" s="229"/>
      <c r="E11" s="228">
        <f>C11*D11/1000</f>
        <v>0</v>
      </c>
      <c r="F11" s="229"/>
      <c r="G11" s="228">
        <f>E11*F11/1000</f>
        <v>0</v>
      </c>
      <c r="H11" s="228">
        <f>G11*1.18</f>
        <v>0</v>
      </c>
      <c r="I11" s="229"/>
      <c r="J11" s="229"/>
      <c r="K11" s="228">
        <f>I11*J11/1000</f>
        <v>0</v>
      </c>
      <c r="L11" s="229"/>
      <c r="M11" s="228">
        <f>K11*L11/1000</f>
        <v>0</v>
      </c>
      <c r="N11" s="228">
        <f>M11*1.18</f>
        <v>0</v>
      </c>
    </row>
    <row r="12" spans="1:14" ht="18.75" customHeight="1">
      <c r="A12" s="849" t="str">
        <f>A$10&amp;"."&amp;ROW(A2)</f>
        <v>1.2</v>
      </c>
      <c r="B12" s="285"/>
      <c r="C12" s="229"/>
      <c r="D12" s="229"/>
      <c r="E12" s="228">
        <f>C12*D12/1000</f>
        <v>0</v>
      </c>
      <c r="F12" s="229"/>
      <c r="G12" s="228">
        <f>E12*F12/1000</f>
        <v>0</v>
      </c>
      <c r="H12" s="228">
        <f>G12*1.18</f>
        <v>0</v>
      </c>
      <c r="I12" s="229"/>
      <c r="J12" s="229"/>
      <c r="K12" s="228">
        <f>I12*J12/1000</f>
        <v>0</v>
      </c>
      <c r="L12" s="229"/>
      <c r="M12" s="228">
        <f>K12*L12/1000</f>
        <v>0</v>
      </c>
      <c r="N12" s="228">
        <f>M12*1.18</f>
        <v>0</v>
      </c>
    </row>
    <row r="13" spans="1:14" ht="18.75" customHeight="1">
      <c r="A13" s="849" t="str">
        <f>A$10&amp;"."&amp;ROW(A3)</f>
        <v>1.3</v>
      </c>
      <c r="B13" s="285"/>
      <c r="C13" s="229"/>
      <c r="D13" s="229"/>
      <c r="E13" s="228">
        <f>C13*D13/1000</f>
        <v>0</v>
      </c>
      <c r="F13" s="229"/>
      <c r="G13" s="228">
        <f>E13*F13/1000</f>
        <v>0</v>
      </c>
      <c r="H13" s="228">
        <f>G13*1.18</f>
        <v>0</v>
      </c>
      <c r="I13" s="229"/>
      <c r="J13" s="229"/>
      <c r="K13" s="228">
        <f>I13*J13/1000</f>
        <v>0</v>
      </c>
      <c r="L13" s="229"/>
      <c r="M13" s="228">
        <f>K13*L13/1000</f>
        <v>0</v>
      </c>
      <c r="N13" s="228">
        <f>M13*1.18</f>
        <v>0</v>
      </c>
    </row>
    <row r="14" spans="1:14" ht="15">
      <c r="A14" s="850"/>
      <c r="B14" s="16" t="s">
        <v>798</v>
      </c>
      <c r="C14" s="47"/>
      <c r="D14" s="47"/>
      <c r="E14" s="158"/>
      <c r="F14" s="47"/>
      <c r="G14" s="158"/>
      <c r="H14" s="158"/>
      <c r="I14" s="47"/>
      <c r="J14" s="47"/>
      <c r="K14" s="158"/>
      <c r="L14" s="47"/>
      <c r="M14" s="158"/>
      <c r="N14" s="158"/>
    </row>
    <row r="15" spans="1:14" ht="18.75" customHeight="1">
      <c r="A15" s="848">
        <v>2</v>
      </c>
      <c r="B15" s="63" t="s">
        <v>355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</row>
    <row r="16" spans="1:14" ht="18.75" customHeight="1">
      <c r="A16" s="849" t="str">
        <f>A$15&amp;"."&amp;ROW(A1)</f>
        <v>2.1</v>
      </c>
      <c r="B16" s="285"/>
      <c r="C16" s="229"/>
      <c r="D16" s="229"/>
      <c r="E16" s="228">
        <f>C16*D16/1000</f>
        <v>0</v>
      </c>
      <c r="F16" s="229"/>
      <c r="G16" s="228">
        <f>E16*F16/1000</f>
        <v>0</v>
      </c>
      <c r="H16" s="228">
        <f>G16*1.18</f>
        <v>0</v>
      </c>
      <c r="I16" s="229"/>
      <c r="J16" s="229"/>
      <c r="K16" s="228">
        <f>I16*J16/1000</f>
        <v>0</v>
      </c>
      <c r="L16" s="229"/>
      <c r="M16" s="228">
        <f>K16*L16/1000</f>
        <v>0</v>
      </c>
      <c r="N16" s="228">
        <f>M16*1.18</f>
        <v>0</v>
      </c>
    </row>
    <row r="17" spans="1:14" ht="18.75" customHeight="1">
      <c r="A17" s="849" t="str">
        <f>A$15&amp;"."&amp;ROW(A2)</f>
        <v>2.2</v>
      </c>
      <c r="B17" s="285"/>
      <c r="C17" s="229"/>
      <c r="D17" s="229"/>
      <c r="E17" s="228">
        <f>C17*D17/1000</f>
        <v>0</v>
      </c>
      <c r="F17" s="229"/>
      <c r="G17" s="228">
        <f>E17*F17/1000</f>
        <v>0</v>
      </c>
      <c r="H17" s="228">
        <f>G17*1.18</f>
        <v>0</v>
      </c>
      <c r="I17" s="229"/>
      <c r="J17" s="229"/>
      <c r="K17" s="228">
        <f>I17*J17/1000</f>
        <v>0</v>
      </c>
      <c r="L17" s="229"/>
      <c r="M17" s="228">
        <f>K17*L17/1000</f>
        <v>0</v>
      </c>
      <c r="N17" s="228">
        <f>M17*1.18</f>
        <v>0</v>
      </c>
    </row>
    <row r="18" spans="1:14" ht="18.75" customHeight="1">
      <c r="A18" s="849" t="str">
        <f>A$15&amp;"."&amp;ROW(A3)</f>
        <v>2.3</v>
      </c>
      <c r="B18" s="285"/>
      <c r="C18" s="229"/>
      <c r="D18" s="229"/>
      <c r="E18" s="228">
        <f>C18*D18/1000</f>
        <v>0</v>
      </c>
      <c r="F18" s="229"/>
      <c r="G18" s="228">
        <f>E18*F18/1000</f>
        <v>0</v>
      </c>
      <c r="H18" s="228">
        <f>G18*1.18</f>
        <v>0</v>
      </c>
      <c r="I18" s="229"/>
      <c r="J18" s="229"/>
      <c r="K18" s="228">
        <f>I18*J18/1000</f>
        <v>0</v>
      </c>
      <c r="L18" s="229"/>
      <c r="M18" s="228">
        <f>K18*L18/1000</f>
        <v>0</v>
      </c>
      <c r="N18" s="228">
        <f>M18*1.18</f>
        <v>0</v>
      </c>
    </row>
    <row r="19" spans="1:14" ht="15">
      <c r="A19" s="850"/>
      <c r="B19" s="16" t="s">
        <v>798</v>
      </c>
      <c r="C19" s="47"/>
      <c r="D19" s="47"/>
      <c r="E19" s="158"/>
      <c r="F19" s="47"/>
      <c r="G19" s="158"/>
      <c r="H19" s="158"/>
      <c r="I19" s="47"/>
      <c r="J19" s="47"/>
      <c r="K19" s="158"/>
      <c r="L19" s="47"/>
      <c r="M19" s="158"/>
      <c r="N19" s="158"/>
    </row>
    <row r="20" spans="1:14" ht="27.75" customHeight="1">
      <c r="A20" s="848">
        <v>3</v>
      </c>
      <c r="B20" s="63" t="s">
        <v>352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</row>
    <row r="21" spans="1:14" ht="18.75" customHeight="1">
      <c r="A21" s="849" t="str">
        <f>A$20&amp;"."&amp;ROW(A1)</f>
        <v>3.1</v>
      </c>
      <c r="B21" s="1297"/>
      <c r="C21" s="229"/>
      <c r="D21" s="229"/>
      <c r="E21" s="228">
        <f>C21*D21/1000</f>
        <v>0</v>
      </c>
      <c r="F21" s="229"/>
      <c r="G21" s="228">
        <f>E21*F21/1000</f>
        <v>0</v>
      </c>
      <c r="H21" s="228">
        <f>G21*1.18</f>
        <v>0</v>
      </c>
      <c r="I21" s="229"/>
      <c r="J21" s="229"/>
      <c r="K21" s="228">
        <f>I21*J21/1000</f>
        <v>0</v>
      </c>
      <c r="L21" s="229"/>
      <c r="M21" s="228">
        <f>K21*L21/1000</f>
        <v>0</v>
      </c>
      <c r="N21" s="228">
        <f>M21*1.18</f>
        <v>0</v>
      </c>
    </row>
    <row r="22" spans="1:14" ht="18.75" customHeight="1">
      <c r="A22" s="849" t="str">
        <f>A$20&amp;"."&amp;ROW(A2)</f>
        <v>3.2</v>
      </c>
      <c r="B22" s="1297"/>
      <c r="C22" s="229"/>
      <c r="D22" s="229"/>
      <c r="E22" s="228">
        <f>C22*D22/1000</f>
        <v>0</v>
      </c>
      <c r="F22" s="229"/>
      <c r="G22" s="228">
        <f>E22*F22/1000</f>
        <v>0</v>
      </c>
      <c r="H22" s="228">
        <f>G22*1.18</f>
        <v>0</v>
      </c>
      <c r="I22" s="229"/>
      <c r="J22" s="229"/>
      <c r="K22" s="228">
        <f>I22*J22/1000</f>
        <v>0</v>
      </c>
      <c r="L22" s="229"/>
      <c r="M22" s="228">
        <f>K22*L22/1000</f>
        <v>0</v>
      </c>
      <c r="N22" s="228">
        <f>M22*1.18</f>
        <v>0</v>
      </c>
    </row>
    <row r="23" spans="1:14" ht="18.75" customHeight="1">
      <c r="A23" s="849" t="str">
        <f>A$20&amp;"."&amp;ROW(A3)</f>
        <v>3.3</v>
      </c>
      <c r="B23" s="285"/>
      <c r="C23" s="229"/>
      <c r="D23" s="229"/>
      <c r="E23" s="228">
        <f>C23*D23/1000</f>
        <v>0</v>
      </c>
      <c r="F23" s="229"/>
      <c r="G23" s="228">
        <f>E23*F23/1000</f>
        <v>0</v>
      </c>
      <c r="H23" s="228">
        <f>G23*1.18</f>
        <v>0</v>
      </c>
      <c r="I23" s="229"/>
      <c r="J23" s="229"/>
      <c r="K23" s="228">
        <f>I23*J23/1000</f>
        <v>0</v>
      </c>
      <c r="L23" s="229"/>
      <c r="M23" s="228">
        <f>K23*L23/1000</f>
        <v>0</v>
      </c>
      <c r="N23" s="228">
        <f>M23*1.18</f>
        <v>0</v>
      </c>
    </row>
    <row r="24" spans="1:14" ht="18.75" customHeight="1">
      <c r="A24" s="850"/>
      <c r="B24" s="16" t="s">
        <v>798</v>
      </c>
      <c r="C24" s="47"/>
      <c r="D24" s="47"/>
      <c r="E24" s="158"/>
      <c r="F24" s="47"/>
      <c r="G24" s="158"/>
      <c r="H24" s="158"/>
      <c r="I24" s="47"/>
      <c r="J24" s="47"/>
      <c r="K24" s="158"/>
      <c r="L24" s="47"/>
      <c r="M24" s="158"/>
      <c r="N24" s="158"/>
    </row>
    <row r="25" spans="1:14" ht="15">
      <c r="A25" s="846"/>
      <c r="B25" s="14" t="s">
        <v>339</v>
      </c>
      <c r="C25" s="160"/>
      <c r="D25" s="160"/>
      <c r="E25" s="13"/>
      <c r="F25" s="160"/>
      <c r="G25" s="228">
        <f>SUM(G10:G24)</f>
        <v>0</v>
      </c>
      <c r="H25" s="228">
        <f>SUM(H10:H24)</f>
        <v>0</v>
      </c>
      <c r="I25" s="160"/>
      <c r="J25" s="160"/>
      <c r="K25" s="13"/>
      <c r="L25" s="160"/>
      <c r="M25" s="228">
        <f>SUM(M10:M24)</f>
        <v>0</v>
      </c>
      <c r="N25" s="228">
        <f>SUM(N10:N24)</f>
        <v>0</v>
      </c>
    </row>
    <row r="26" spans="1:14" ht="15">
      <c r="A26" s="3"/>
      <c r="B26" s="4"/>
      <c r="C26" s="4"/>
      <c r="D26" s="4"/>
      <c r="E26" s="5"/>
      <c r="F26" s="6"/>
      <c r="G26" s="6"/>
      <c r="H26" s="7"/>
      <c r="I26" s="4"/>
      <c r="J26" s="4"/>
      <c r="K26" s="5"/>
      <c r="L26" s="6"/>
      <c r="M26" s="6"/>
      <c r="N26" s="7"/>
    </row>
    <row r="27" spans="1:14" ht="15">
      <c r="A27" s="560"/>
      <c r="B27" s="561"/>
      <c r="C27" s="561"/>
      <c r="D27" s="561"/>
      <c r="E27" s="5"/>
      <c r="F27" s="562"/>
      <c r="G27" s="562"/>
      <c r="H27" s="8"/>
      <c r="I27" s="561"/>
      <c r="J27" s="561"/>
      <c r="K27" s="5"/>
      <c r="L27" s="562"/>
      <c r="M27" s="562"/>
      <c r="N27" s="8"/>
    </row>
    <row r="28" spans="1:14" ht="15">
      <c r="A28" s="558"/>
      <c r="B28" s="563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</row>
    <row r="29" spans="1:14" ht="15">
      <c r="A29" s="564" t="s">
        <v>350</v>
      </c>
      <c r="B29" s="565"/>
      <c r="C29" s="566"/>
      <c r="D29" s="566"/>
      <c r="E29" s="567"/>
      <c r="F29" s="566"/>
      <c r="G29" s="566"/>
      <c r="H29" s="566"/>
      <c r="I29" s="566"/>
      <c r="J29" s="566"/>
      <c r="K29" s="567"/>
      <c r="L29" s="566"/>
      <c r="M29" s="566"/>
      <c r="N29" s="566"/>
    </row>
    <row r="30" spans="1:14" ht="15">
      <c r="A30" s="565"/>
      <c r="B30" s="565"/>
      <c r="C30" s="566"/>
      <c r="D30" s="566"/>
      <c r="E30" s="566"/>
      <c r="F30" s="566"/>
      <c r="G30" s="566"/>
      <c r="H30" s="566"/>
      <c r="I30" s="566"/>
      <c r="J30" s="566"/>
      <c r="K30" s="566"/>
      <c r="L30" s="566"/>
      <c r="M30" s="566"/>
      <c r="N30" s="566"/>
    </row>
    <row r="31" spans="1:14" ht="15">
      <c r="A31" s="886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  <c r="B31" s="568"/>
      <c r="C31" s="566"/>
      <c r="D31" s="569"/>
      <c r="E31" s="569"/>
      <c r="F31" s="568"/>
      <c r="G31" s="568"/>
      <c r="H31" s="568"/>
      <c r="I31" s="566"/>
      <c r="J31" s="569"/>
      <c r="K31" s="569"/>
      <c r="L31" s="568"/>
      <c r="M31" s="568"/>
      <c r="N31" s="568"/>
    </row>
    <row r="32" ht="15">
      <c r="B32" s="1008" t="s">
        <v>219</v>
      </c>
    </row>
  </sheetData>
  <sheetProtection password="CF72" sheet="1" objects="1" scenarios="1" formatColumns="0"/>
  <mergeCells count="14">
    <mergeCell ref="I6:I7"/>
    <mergeCell ref="J6:J7"/>
    <mergeCell ref="K6:K7"/>
    <mergeCell ref="L6:L7"/>
    <mergeCell ref="M6:M7"/>
    <mergeCell ref="N6:N7"/>
    <mergeCell ref="G6:G7"/>
    <mergeCell ref="H6:H7"/>
    <mergeCell ref="A6:A8"/>
    <mergeCell ref="B6:B8"/>
    <mergeCell ref="C6:C7"/>
    <mergeCell ref="D6:D7"/>
    <mergeCell ref="E6:E7"/>
    <mergeCell ref="F6:F7"/>
  </mergeCells>
  <dataValidations count="2">
    <dataValidation type="decimal" allowBlank="1" showErrorMessage="1" errorTitle="Ошибка" error="Допускается ввод только действительных чисел!" sqref="C11:D13 C16:D19 C21:D24 F11:J13 F16:J19 F21:J24 L11:N13 L16:N19 L21:N24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B13 B21:B24 B16:B19">
      <formula1>900</formula1>
    </dataValidation>
  </dataValidations>
  <printOptions/>
  <pageMargins left="0.25" right="0.25" top="0.75" bottom="0.75" header="0.3" footer="0.3"/>
  <pageSetup fitToHeight="1" fitToWidth="1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F51"/>
  <sheetViews>
    <sheetView zoomScalePageLayoutView="0" workbookViewId="0" topLeftCell="A19">
      <selection activeCell="H46" sqref="H46"/>
    </sheetView>
  </sheetViews>
  <sheetFormatPr defaultColWidth="9.140625" defaultRowHeight="15"/>
  <cols>
    <col min="1" max="1" width="5.57421875" style="513" customWidth="1"/>
    <col min="2" max="2" width="27.00390625" style="513" customWidth="1"/>
    <col min="3" max="4" width="19.8515625" style="513" customWidth="1"/>
    <col min="5" max="5" width="21.00390625" style="513" customWidth="1"/>
    <col min="6" max="6" width="19.8515625" style="513" customWidth="1"/>
    <col min="7" max="16384" width="9.140625" style="513" customWidth="1"/>
  </cols>
  <sheetData>
    <row r="2" spans="1:6" ht="15">
      <c r="A2" s="570" t="s">
        <v>1291</v>
      </c>
      <c r="B2" s="571"/>
      <c r="C2" s="571"/>
      <c r="D2" s="571"/>
      <c r="E2" s="571"/>
      <c r="F2" s="566"/>
    </row>
    <row r="3" spans="1:6" ht="15">
      <c r="A3" s="549" t="str">
        <f>Титульный!$B$10</f>
        <v>ООО "Дирекция Голицыно-3"</v>
      </c>
      <c r="B3" s="565"/>
      <c r="C3" s="565"/>
      <c r="D3" s="565"/>
      <c r="E3" s="565"/>
      <c r="F3" s="572"/>
    </row>
    <row r="4" spans="1:6" ht="15">
      <c r="A4" s="551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573"/>
      <c r="C4" s="573"/>
      <c r="D4" s="573"/>
      <c r="E4" s="573"/>
      <c r="F4" s="572"/>
    </row>
    <row r="5" spans="1:6" ht="15">
      <c r="A5" s="558"/>
      <c r="B5" s="574"/>
      <c r="C5" s="558"/>
      <c r="D5" s="558"/>
      <c r="E5" s="558"/>
      <c r="F5" s="558"/>
    </row>
    <row r="6" spans="1:6" ht="40.5" customHeight="1">
      <c r="A6" s="1570" t="s">
        <v>3</v>
      </c>
      <c r="B6" s="1570" t="s">
        <v>356</v>
      </c>
      <c r="C6" s="1570" t="s">
        <v>357</v>
      </c>
      <c r="D6" s="56" t="s">
        <v>358</v>
      </c>
      <c r="E6" s="56" t="s">
        <v>374</v>
      </c>
      <c r="F6" s="56" t="s">
        <v>359</v>
      </c>
    </row>
    <row r="7" spans="1:6" ht="15">
      <c r="A7" s="1570"/>
      <c r="B7" s="1570"/>
      <c r="C7" s="1570"/>
      <c r="D7" s="56" t="s">
        <v>222</v>
      </c>
      <c r="E7" s="56" t="s">
        <v>50</v>
      </c>
      <c r="F7" s="56" t="s">
        <v>50</v>
      </c>
    </row>
    <row r="8" spans="1:6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</row>
    <row r="9" spans="1:6" ht="15">
      <c r="A9" s="849">
        <f aca="true" t="shared" si="0" ref="A9:A20">ROW(A1)</f>
        <v>1</v>
      </c>
      <c r="B9" s="978" t="s">
        <v>1318</v>
      </c>
      <c r="C9" s="978"/>
      <c r="D9" s="300">
        <v>401280</v>
      </c>
      <c r="E9" s="300">
        <v>996398.64</v>
      </c>
      <c r="F9" s="25">
        <f aca="true" t="shared" si="1" ref="F9:F20">E9*1.18</f>
        <v>1175750.3952</v>
      </c>
    </row>
    <row r="10" spans="1:6" ht="15">
      <c r="A10" s="849">
        <f t="shared" si="0"/>
        <v>2</v>
      </c>
      <c r="B10" s="978" t="s">
        <v>1319</v>
      </c>
      <c r="C10" s="978"/>
      <c r="D10" s="300">
        <v>349140</v>
      </c>
      <c r="E10" s="300">
        <v>866932.37</v>
      </c>
      <c r="F10" s="25">
        <f t="shared" si="1"/>
        <v>1022980.1965999999</v>
      </c>
    </row>
    <row r="11" spans="1:6" ht="15">
      <c r="A11" s="849">
        <f t="shared" si="0"/>
        <v>3</v>
      </c>
      <c r="B11" s="978" t="s">
        <v>1320</v>
      </c>
      <c r="C11" s="978"/>
      <c r="D11" s="300">
        <v>310540</v>
      </c>
      <c r="E11" s="300">
        <v>771086.61</v>
      </c>
      <c r="F11" s="25">
        <f t="shared" si="1"/>
        <v>909882.1998</v>
      </c>
    </row>
    <row r="12" spans="1:6" ht="15">
      <c r="A12" s="849">
        <f t="shared" si="0"/>
        <v>4</v>
      </c>
      <c r="B12" s="978" t="s">
        <v>1321</v>
      </c>
      <c r="C12" s="978"/>
      <c r="D12" s="300">
        <v>244320</v>
      </c>
      <c r="E12" s="300">
        <v>606658.99</v>
      </c>
      <c r="F12" s="25">
        <f t="shared" si="1"/>
        <v>715857.6081999999</v>
      </c>
    </row>
    <row r="13" spans="1:6" ht="15">
      <c r="A13" s="849">
        <f t="shared" si="0"/>
        <v>5</v>
      </c>
      <c r="B13" s="978" t="s">
        <v>1322</v>
      </c>
      <c r="C13" s="978"/>
      <c r="D13" s="300">
        <v>191680</v>
      </c>
      <c r="E13" s="300">
        <v>475951.18</v>
      </c>
      <c r="F13" s="25">
        <f t="shared" si="1"/>
        <v>561622.3924</v>
      </c>
    </row>
    <row r="14" spans="1:6" ht="15">
      <c r="A14" s="849">
        <f t="shared" si="0"/>
        <v>6</v>
      </c>
      <c r="B14" s="978" t="s">
        <v>1323</v>
      </c>
      <c r="C14" s="978"/>
      <c r="D14" s="300">
        <v>184000</v>
      </c>
      <c r="E14" s="300">
        <v>456881.35</v>
      </c>
      <c r="F14" s="25">
        <f t="shared" si="1"/>
        <v>539119.9929999999</v>
      </c>
    </row>
    <row r="15" spans="1:6" ht="15">
      <c r="A15" s="849">
        <f t="shared" si="0"/>
        <v>7</v>
      </c>
      <c r="B15" s="978" t="s">
        <v>1324</v>
      </c>
      <c r="C15" s="978"/>
      <c r="D15" s="300">
        <v>175680</v>
      </c>
      <c r="E15" s="300">
        <v>473442.7</v>
      </c>
      <c r="F15" s="25">
        <f t="shared" si="1"/>
        <v>558662.3859999999</v>
      </c>
    </row>
    <row r="16" spans="1:6" ht="15">
      <c r="A16" s="849">
        <f t="shared" si="0"/>
        <v>8</v>
      </c>
      <c r="B16" s="978" t="s">
        <v>1325</v>
      </c>
      <c r="C16" s="978"/>
      <c r="D16" s="300">
        <v>178560</v>
      </c>
      <c r="E16" s="300">
        <v>481204.06</v>
      </c>
      <c r="F16" s="25">
        <f t="shared" si="1"/>
        <v>567820.7908</v>
      </c>
    </row>
    <row r="17" spans="1:6" ht="15">
      <c r="A17" s="849">
        <f t="shared" si="0"/>
        <v>9</v>
      </c>
      <c r="B17" s="978" t="s">
        <v>1326</v>
      </c>
      <c r="C17" s="978"/>
      <c r="D17" s="300">
        <v>200160</v>
      </c>
      <c r="E17" s="300">
        <v>539414.32</v>
      </c>
      <c r="F17" s="25">
        <f t="shared" si="1"/>
        <v>636508.8975999999</v>
      </c>
    </row>
    <row r="18" spans="1:6" ht="15">
      <c r="A18" s="849">
        <f t="shared" si="0"/>
        <v>10</v>
      </c>
      <c r="B18" s="978" t="s">
        <v>1327</v>
      </c>
      <c r="C18" s="978"/>
      <c r="D18" s="300">
        <v>249600</v>
      </c>
      <c r="E18" s="300">
        <v>672650.85</v>
      </c>
      <c r="F18" s="25">
        <f t="shared" si="1"/>
        <v>793728.0029999999</v>
      </c>
    </row>
    <row r="19" spans="1:6" ht="15">
      <c r="A19" s="849">
        <f t="shared" si="0"/>
        <v>11</v>
      </c>
      <c r="B19" s="978" t="s">
        <v>1328</v>
      </c>
      <c r="C19" s="978"/>
      <c r="D19" s="300">
        <v>278880</v>
      </c>
      <c r="E19" s="300">
        <v>751557.97</v>
      </c>
      <c r="F19" s="25">
        <f t="shared" si="1"/>
        <v>886838.4045999999</v>
      </c>
    </row>
    <row r="20" spans="1:6" ht="15">
      <c r="A20" s="849">
        <f t="shared" si="0"/>
        <v>12</v>
      </c>
      <c r="B20" s="978" t="s">
        <v>1329</v>
      </c>
      <c r="C20" s="978"/>
      <c r="D20" s="300">
        <v>221729</v>
      </c>
      <c r="E20" s="300">
        <v>842831.83</v>
      </c>
      <c r="F20" s="25">
        <f t="shared" si="1"/>
        <v>994541.5593999999</v>
      </c>
    </row>
    <row r="21" spans="1:6" ht="15">
      <c r="A21" s="15"/>
      <c r="B21" s="16" t="s">
        <v>799</v>
      </c>
      <c r="C21" s="15"/>
      <c r="D21" s="15"/>
      <c r="E21" s="15"/>
      <c r="F21" s="15"/>
    </row>
    <row r="22" spans="1:6" ht="15">
      <c r="A22" s="13"/>
      <c r="B22" s="14" t="s">
        <v>339</v>
      </c>
      <c r="C22" s="62"/>
      <c r="D22" s="25">
        <f>SUM(D9:D21)</f>
        <v>2985569</v>
      </c>
      <c r="E22" s="25">
        <f>SUM(E9:E21)</f>
        <v>7935010.87</v>
      </c>
      <c r="F22" s="25">
        <f>SUM(F9:F21)</f>
        <v>9363312.826599998</v>
      </c>
    </row>
    <row r="23" spans="1:6" ht="28.5" customHeight="1">
      <c r="A23" s="11"/>
      <c r="B23" s="14" t="s">
        <v>360</v>
      </c>
      <c r="C23" s="979"/>
      <c r="D23" s="979"/>
      <c r="E23" s="980">
        <f>IF($D$22=0,0,E22/$D$22)</f>
        <v>2.657788471812241</v>
      </c>
      <c r="F23" s="980">
        <f>IF($D$22=0,0,F22/$D$22)</f>
        <v>3.1361903967384435</v>
      </c>
    </row>
    <row r="24" spans="1:6" ht="15">
      <c r="A24" s="558"/>
      <c r="B24" s="558"/>
      <c r="C24" s="575"/>
      <c r="D24" s="558"/>
      <c r="E24" s="558"/>
      <c r="F24" s="558"/>
    </row>
    <row r="25" spans="1:6" ht="15">
      <c r="A25" s="566"/>
      <c r="B25" s="1571" t="s">
        <v>361</v>
      </c>
      <c r="C25" s="1572"/>
      <c r="D25" s="1572"/>
      <c r="E25" s="566"/>
      <c r="F25" s="566"/>
    </row>
    <row r="26" spans="1:6" ht="15">
      <c r="A26" s="566"/>
      <c r="B26" s="565"/>
      <c r="C26" s="566"/>
      <c r="D26" s="566"/>
      <c r="E26" s="566"/>
      <c r="F26" s="566"/>
    </row>
    <row r="27" spans="1:6" ht="15">
      <c r="A27" s="568" t="str">
        <f>Титульный!$B$48&amp;" /____________________/ ("&amp;MID(Титульный!$B$47,1,SEARCH(" ",Титульный!$B$47)-1)&amp;" "&amp;MID(Титульный!$B$47,SEARCH(" ",Титульный!$B$47)+1,1)&amp;"."&amp;MID(Титульный!$B$47,SEARCH(" ",Титульный!$B$47,SEARCH(" ",Титульный!$B$47)+1)+1,1)&amp;"."&amp;")"</f>
        <v>Генеральный директор /____________________/ (Седов Ю.В.)</v>
      </c>
      <c r="B27" s="566"/>
      <c r="C27" s="566"/>
      <c r="D27" s="569"/>
      <c r="E27" s="568"/>
      <c r="F27" s="568"/>
    </row>
    <row r="28" spans="1:6" ht="15">
      <c r="A28" s="572"/>
      <c r="B28" s="1008" t="s">
        <v>219</v>
      </c>
      <c r="C28" s="566"/>
      <c r="D28" s="566"/>
      <c r="E28" s="566"/>
      <c r="F28" s="566"/>
    </row>
    <row r="29" spans="1:6" ht="15">
      <c r="A29" s="566"/>
      <c r="B29" s="566"/>
      <c r="C29" s="566"/>
      <c r="D29" s="566"/>
      <c r="E29" s="566"/>
      <c r="F29" s="566"/>
    </row>
    <row r="30" spans="1:6" ht="15">
      <c r="A30" s="1573" t="s">
        <v>1292</v>
      </c>
      <c r="B30" s="1573"/>
      <c r="C30" s="1573"/>
      <c r="D30" s="1573"/>
      <c r="E30" s="1573"/>
      <c r="F30" s="1574"/>
    </row>
    <row r="31" spans="1:6" ht="15">
      <c r="A31" s="576"/>
      <c r="B31" s="576"/>
      <c r="C31" s="576"/>
      <c r="D31" s="576"/>
      <c r="E31" s="576"/>
      <c r="F31" s="576"/>
    </row>
    <row r="32" spans="1:6" ht="15">
      <c r="A32" s="1575" t="s">
        <v>238</v>
      </c>
      <c r="B32" s="1575" t="s">
        <v>362</v>
      </c>
      <c r="C32" s="1576" t="s">
        <v>363</v>
      </c>
      <c r="D32" s="1577"/>
      <c r="E32" s="1577"/>
      <c r="F32" s="1578"/>
    </row>
    <row r="33" spans="1:6" ht="37.5" customHeight="1">
      <c r="A33" s="1575"/>
      <c r="B33" s="1575"/>
      <c r="C33" s="604" t="s">
        <v>364</v>
      </c>
      <c r="D33" s="604" t="s">
        <v>365</v>
      </c>
      <c r="E33" s="604" t="s">
        <v>366</v>
      </c>
      <c r="F33" s="981" t="s">
        <v>367</v>
      </c>
    </row>
    <row r="34" spans="1:6" ht="15">
      <c r="A34" s="9">
        <v>1</v>
      </c>
      <c r="B34" s="9">
        <v>2</v>
      </c>
      <c r="C34" s="9">
        <v>3</v>
      </c>
      <c r="D34" s="9">
        <v>4</v>
      </c>
      <c r="E34" s="9">
        <v>5</v>
      </c>
      <c r="F34" s="9">
        <v>6</v>
      </c>
    </row>
    <row r="35" spans="1:6" ht="15">
      <c r="A35" s="981">
        <v>1</v>
      </c>
      <c r="B35" s="982" t="s">
        <v>368</v>
      </c>
      <c r="C35" s="983">
        <f>'Расходы ЭЭ'!G10</f>
        <v>146264.831152</v>
      </c>
      <c r="D35" s="983">
        <f>'Расходы ЭЭ'!G18</f>
        <v>0</v>
      </c>
      <c r="E35" s="983">
        <f>'Расходы ЭЭ'!G24</f>
        <v>0</v>
      </c>
      <c r="F35" s="46">
        <f>C35+D35+E35</f>
        <v>146264.831152</v>
      </c>
    </row>
    <row r="36" spans="1:6" ht="15">
      <c r="A36" s="603" t="str">
        <f>A$35&amp;"."&amp;ROW(A1)</f>
        <v>1.1</v>
      </c>
      <c r="B36" s="891" t="s">
        <v>368</v>
      </c>
      <c r="C36" s="891"/>
      <c r="D36" s="891"/>
      <c r="E36" s="891"/>
      <c r="F36" s="604"/>
    </row>
    <row r="37" spans="1:6" ht="15">
      <c r="A37" s="603" t="str">
        <f>A$35&amp;"."&amp;ROW(A2)</f>
        <v>1.2</v>
      </c>
      <c r="B37" s="891"/>
      <c r="C37" s="891"/>
      <c r="D37" s="891"/>
      <c r="E37" s="891"/>
      <c r="F37" s="604"/>
    </row>
    <row r="38" spans="1:6" ht="15">
      <c r="A38" s="15"/>
      <c r="B38" s="16" t="s">
        <v>369</v>
      </c>
      <c r="C38" s="15"/>
      <c r="D38" s="15"/>
      <c r="E38" s="15"/>
      <c r="F38" s="15"/>
    </row>
    <row r="39" spans="1:6" ht="15">
      <c r="A39" s="981">
        <v>2</v>
      </c>
      <c r="B39" s="982" t="s">
        <v>370</v>
      </c>
      <c r="C39" s="577">
        <v>54297</v>
      </c>
      <c r="D39" s="577"/>
      <c r="E39" s="577"/>
      <c r="F39" s="46">
        <f>C39+D39+E39</f>
        <v>54297</v>
      </c>
    </row>
    <row r="40" spans="1:6" ht="15">
      <c r="A40" s="603" t="str">
        <f>A$39&amp;"."&amp;ROW(A1)</f>
        <v>2.1</v>
      </c>
      <c r="B40" s="891"/>
      <c r="C40" s="891"/>
      <c r="D40" s="891"/>
      <c r="E40" s="891"/>
      <c r="F40" s="604"/>
    </row>
    <row r="41" spans="1:6" ht="15">
      <c r="A41" s="603" t="str">
        <f>A$39&amp;"."&amp;ROW(A2)</f>
        <v>2.2</v>
      </c>
      <c r="B41" s="891"/>
      <c r="C41" s="891"/>
      <c r="D41" s="891"/>
      <c r="E41" s="891"/>
      <c r="F41" s="604"/>
    </row>
    <row r="42" spans="1:6" ht="15">
      <c r="A42" s="15"/>
      <c r="B42" s="16" t="s">
        <v>369</v>
      </c>
      <c r="C42" s="15"/>
      <c r="D42" s="15"/>
      <c r="E42" s="15"/>
      <c r="F42" s="15"/>
    </row>
    <row r="43" spans="1:6" ht="15">
      <c r="A43" s="981">
        <v>3</v>
      </c>
      <c r="B43" s="982" t="s">
        <v>371</v>
      </c>
      <c r="C43" s="577"/>
      <c r="D43" s="577"/>
      <c r="E43" s="577"/>
      <c r="F43" s="46">
        <f>C43+D43+E43</f>
        <v>0</v>
      </c>
    </row>
    <row r="44" spans="1:6" ht="15">
      <c r="A44" s="981">
        <v>4</v>
      </c>
      <c r="B44" s="984" t="s">
        <v>372</v>
      </c>
      <c r="C44" s="577">
        <f>721005-C35-C39</f>
        <v>520443.168848</v>
      </c>
      <c r="D44" s="577"/>
      <c r="E44" s="577"/>
      <c r="F44" s="46">
        <f>C44+D44+E44</f>
        <v>520443.168848</v>
      </c>
    </row>
    <row r="45" spans="1:6" ht="15">
      <c r="A45" s="10"/>
      <c r="B45" s="890" t="s">
        <v>373</v>
      </c>
      <c r="C45" s="34"/>
      <c r="D45" s="34"/>
      <c r="E45" s="34"/>
      <c r="F45" s="46">
        <f>SUM(F35:F44)</f>
        <v>721005</v>
      </c>
    </row>
    <row r="46" spans="1:6" ht="15">
      <c r="A46" s="3"/>
      <c r="B46" s="4"/>
      <c r="C46" s="4"/>
      <c r="D46" s="4"/>
      <c r="E46" s="5"/>
      <c r="F46" s="6"/>
    </row>
    <row r="47" spans="1:6" ht="15">
      <c r="A47" s="566"/>
      <c r="B47" s="566"/>
      <c r="C47" s="566"/>
      <c r="D47" s="566"/>
      <c r="E47" s="566"/>
      <c r="F47" s="566"/>
    </row>
    <row r="48" spans="1:6" ht="15">
      <c r="A48" s="564" t="s">
        <v>350</v>
      </c>
      <c r="B48" s="566"/>
      <c r="C48" s="566"/>
      <c r="D48" s="566"/>
      <c r="E48" s="566"/>
      <c r="F48" s="566"/>
    </row>
    <row r="49" spans="1:6" ht="15">
      <c r="A49" s="565"/>
      <c r="B49" s="566"/>
      <c r="C49" s="566"/>
      <c r="D49" s="566"/>
      <c r="E49" s="566"/>
      <c r="F49" s="566"/>
    </row>
    <row r="50" spans="1:6" ht="15">
      <c r="A50" s="886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  <c r="B50" s="568"/>
      <c r="C50" s="566"/>
      <c r="D50" s="566"/>
      <c r="E50" s="566"/>
      <c r="F50" s="566"/>
    </row>
    <row r="51" ht="15">
      <c r="B51" s="1008" t="s">
        <v>219</v>
      </c>
    </row>
  </sheetData>
  <sheetProtection password="CF72" sheet="1" objects="1" scenarios="1"/>
  <mergeCells count="8">
    <mergeCell ref="A6:A7"/>
    <mergeCell ref="B6:B7"/>
    <mergeCell ref="C6:C7"/>
    <mergeCell ref="B25:D25"/>
    <mergeCell ref="A30:F30"/>
    <mergeCell ref="A32:A33"/>
    <mergeCell ref="B32:B33"/>
    <mergeCell ref="C32:F32"/>
  </mergeCells>
  <dataValidations count="3">
    <dataValidation type="decimal" allowBlank="1" showErrorMessage="1" errorTitle="Ошибка" error="Допускается ввод только действительных чисел!" sqref="D9:F20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9:C20">
      <formula1>900</formula1>
    </dataValidation>
    <dataValidation type="decimal" allowBlank="1" showErrorMessage="1" errorTitle="Ошибка" error="Допускается ввод только неотрицательных чисел!" sqref="C43:E44">
      <formula1>0</formula1>
      <formula2>9.99999999999999E+23</formula2>
    </dataValidation>
  </dataValidations>
  <printOptions/>
  <pageMargins left="0.25" right="0.25" top="0.75" bottom="0.75" header="0.3" footer="0.3"/>
  <pageSetup fitToHeight="1" fitToWidth="1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2:K32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5.421875" style="513" customWidth="1"/>
    <col min="2" max="2" width="30.00390625" style="513" customWidth="1"/>
    <col min="3" max="3" width="13.8515625" style="513" customWidth="1"/>
    <col min="4" max="4" width="15.00390625" style="513" customWidth="1"/>
    <col min="5" max="5" width="19.140625" style="513" customWidth="1"/>
    <col min="6" max="6" width="19.421875" style="513" customWidth="1"/>
    <col min="7" max="7" width="15.140625" style="513" customWidth="1"/>
    <col min="8" max="8" width="14.00390625" style="513" customWidth="1"/>
    <col min="9" max="9" width="20.57421875" style="513" customWidth="1"/>
    <col min="10" max="10" width="19.57421875" style="513" customWidth="1"/>
    <col min="11" max="11" width="15.421875" style="513" customWidth="1"/>
    <col min="12" max="16384" width="9.140625" style="513" customWidth="1"/>
  </cols>
  <sheetData>
    <row r="2" spans="1:11" ht="15">
      <c r="A2" s="570" t="s">
        <v>1294</v>
      </c>
      <c r="B2" s="570"/>
      <c r="C2" s="570"/>
      <c r="D2" s="570"/>
      <c r="E2" s="578"/>
      <c r="F2" s="578"/>
      <c r="G2" s="578"/>
      <c r="H2" s="566"/>
      <c r="I2" s="566"/>
      <c r="J2" s="566"/>
      <c r="K2" s="566"/>
    </row>
    <row r="3" spans="1:11" ht="15">
      <c r="A3" s="549" t="str">
        <f>Титульный!$B$10</f>
        <v>ООО "Дирекция Голицыно-3"</v>
      </c>
      <c r="B3" s="579"/>
      <c r="C3" s="579"/>
      <c r="D3" s="579"/>
      <c r="E3" s="580"/>
      <c r="F3" s="580"/>
      <c r="G3" s="580"/>
      <c r="H3" s="566"/>
      <c r="I3" s="566"/>
      <c r="J3" s="566"/>
      <c r="K3" s="566"/>
    </row>
    <row r="4" spans="1:11" ht="15">
      <c r="A4" s="551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581"/>
      <c r="C4" s="581"/>
      <c r="D4" s="581"/>
      <c r="E4" s="580"/>
      <c r="F4" s="580"/>
      <c r="G4" s="580"/>
      <c r="H4" s="566"/>
      <c r="I4" s="566"/>
      <c r="J4" s="566"/>
      <c r="K4" s="566"/>
    </row>
    <row r="5" spans="1:11" ht="15">
      <c r="A5" s="582"/>
      <c r="B5" s="583"/>
      <c r="C5" s="583"/>
      <c r="D5" s="583"/>
      <c r="E5" s="583"/>
      <c r="F5" s="583"/>
      <c r="G5" s="583"/>
      <c r="H5" s="558"/>
      <c r="I5" s="558"/>
      <c r="J5" s="558"/>
      <c r="K5" s="558"/>
    </row>
    <row r="6" spans="1:11" ht="15">
      <c r="A6" s="1570" t="s">
        <v>238</v>
      </c>
      <c r="B6" s="1570" t="s">
        <v>375</v>
      </c>
      <c r="C6" s="1570" t="s">
        <v>376</v>
      </c>
      <c r="D6" s="1579" t="s">
        <v>1295</v>
      </c>
      <c r="E6" s="1567"/>
      <c r="F6" s="1567"/>
      <c r="G6" s="1567"/>
      <c r="H6" s="1579" t="s">
        <v>1293</v>
      </c>
      <c r="I6" s="1567"/>
      <c r="J6" s="1567"/>
      <c r="K6" s="1567"/>
    </row>
    <row r="7" spans="1:11" ht="28.5" customHeight="1">
      <c r="A7" s="1570"/>
      <c r="B7" s="1570"/>
      <c r="C7" s="1570"/>
      <c r="D7" s="1570" t="s">
        <v>377</v>
      </c>
      <c r="E7" s="56" t="s">
        <v>378</v>
      </c>
      <c r="F7" s="56" t="s">
        <v>378</v>
      </c>
      <c r="G7" s="56" t="s">
        <v>379</v>
      </c>
      <c r="H7" s="1566" t="s">
        <v>377</v>
      </c>
      <c r="I7" s="58" t="s">
        <v>378</v>
      </c>
      <c r="J7" s="58" t="s">
        <v>378</v>
      </c>
      <c r="K7" s="58" t="s">
        <v>379</v>
      </c>
    </row>
    <row r="8" spans="1:11" ht="15">
      <c r="A8" s="1570"/>
      <c r="B8" s="1570"/>
      <c r="C8" s="56" t="s">
        <v>380</v>
      </c>
      <c r="D8" s="1570"/>
      <c r="E8" s="56" t="s">
        <v>381</v>
      </c>
      <c r="F8" s="56" t="s">
        <v>382</v>
      </c>
      <c r="G8" s="56" t="s">
        <v>383</v>
      </c>
      <c r="H8" s="1566"/>
      <c r="I8" s="58" t="s">
        <v>381</v>
      </c>
      <c r="J8" s="58" t="s">
        <v>382</v>
      </c>
      <c r="K8" s="58" t="s">
        <v>383</v>
      </c>
    </row>
    <row r="9" spans="1:1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</row>
    <row r="10" spans="1:11" ht="26.25" customHeight="1">
      <c r="A10" s="18">
        <v>1</v>
      </c>
      <c r="B10" s="56" t="s">
        <v>384</v>
      </c>
      <c r="C10" s="56"/>
      <c r="D10" s="56"/>
      <c r="E10" s="56"/>
      <c r="F10" s="56"/>
      <c r="G10" s="19">
        <f>SUM(G11:G17)</f>
        <v>146264.831152</v>
      </c>
      <c r="H10" s="584"/>
      <c r="I10" s="584"/>
      <c r="J10" s="584"/>
      <c r="K10" s="20">
        <f>SUM(K11:K17)</f>
        <v>188116.328</v>
      </c>
    </row>
    <row r="11" spans="1:11" ht="19.5" customHeight="1" hidden="1">
      <c r="A11" s="17" t="s">
        <v>332</v>
      </c>
      <c r="B11" s="21"/>
      <c r="C11" s="9"/>
      <c r="D11" s="9"/>
      <c r="E11" s="9"/>
      <c r="F11" s="9"/>
      <c r="G11" s="9"/>
      <c r="H11" s="22"/>
      <c r="I11" s="22"/>
      <c r="J11" s="22"/>
      <c r="K11" s="21"/>
    </row>
    <row r="12" spans="1:11" ht="19.5" customHeight="1">
      <c r="A12" s="849" t="str">
        <f>A$10&amp;"."&amp;ROW(A1)</f>
        <v>1.1</v>
      </c>
      <c r="B12" s="973"/>
      <c r="C12" s="300"/>
      <c r="D12" s="300"/>
      <c r="E12" s="300"/>
      <c r="F12" s="301"/>
      <c r="G12" s="25">
        <f>C12*D12*E12*F12</f>
        <v>0</v>
      </c>
      <c r="H12" s="300"/>
      <c r="I12" s="299"/>
      <c r="J12" s="301"/>
      <c r="K12" s="25">
        <f>C12*H12*I12*J12</f>
        <v>0</v>
      </c>
    </row>
    <row r="13" spans="1:11" ht="19.5" customHeight="1">
      <c r="A13" s="849" t="str">
        <f>A$10&amp;"."&amp;ROW(A2)</f>
        <v>1.2</v>
      </c>
      <c r="B13" s="973"/>
      <c r="C13" s="300"/>
      <c r="D13" s="300"/>
      <c r="E13" s="300"/>
      <c r="F13" s="301"/>
      <c r="G13" s="25">
        <f>C13*D13*E13*F13</f>
        <v>0</v>
      </c>
      <c r="H13" s="300"/>
      <c r="I13" s="299"/>
      <c r="J13" s="301"/>
      <c r="K13" s="25">
        <f>C13*H13*I13*J13</f>
        <v>0</v>
      </c>
    </row>
    <row r="14" spans="1:11" ht="19.5" customHeight="1">
      <c r="A14" s="849" t="str">
        <f>A$10&amp;"."&amp;ROW(A3)</f>
        <v>1.3</v>
      </c>
      <c r="B14" s="973"/>
      <c r="C14" s="300"/>
      <c r="D14" s="300"/>
      <c r="E14" s="300"/>
      <c r="F14" s="301"/>
      <c r="G14" s="25">
        <f>C14*D14*E14*F14</f>
        <v>0</v>
      </c>
      <c r="H14" s="300"/>
      <c r="I14" s="299"/>
      <c r="J14" s="301"/>
      <c r="K14" s="25">
        <f>C14*H14*I14*J14</f>
        <v>0</v>
      </c>
    </row>
    <row r="15" spans="1:11" ht="19.5" customHeight="1">
      <c r="A15" s="849" t="str">
        <f>A$10&amp;"."&amp;ROW(A4)</f>
        <v>1.4</v>
      </c>
      <c r="B15" s="973"/>
      <c r="C15" s="300"/>
      <c r="D15" s="300"/>
      <c r="E15" s="300"/>
      <c r="F15" s="301"/>
      <c r="G15" s="25">
        <f>C15*D15*E15*F15</f>
        <v>0</v>
      </c>
      <c r="H15" s="300"/>
      <c r="I15" s="299"/>
      <c r="J15" s="301"/>
      <c r="K15" s="25">
        <f>C15*H15*I15*J15</f>
        <v>0</v>
      </c>
    </row>
    <row r="16" spans="1:11" ht="19.5" customHeight="1">
      <c r="A16" s="849" t="str">
        <f>A$10&amp;"."&amp;ROW(A5)</f>
        <v>1.5</v>
      </c>
      <c r="B16" s="973"/>
      <c r="C16" s="300">
        <v>66.76</v>
      </c>
      <c r="D16" s="300">
        <f>1*0.75031</f>
        <v>0.75031</v>
      </c>
      <c r="E16" s="300">
        <v>8</v>
      </c>
      <c r="F16" s="301">
        <v>365</v>
      </c>
      <c r="G16" s="25">
        <f>C16*D16*E16*F16</f>
        <v>146264.831152</v>
      </c>
      <c r="H16" s="300">
        <f>1*0.965</f>
        <v>0.965</v>
      </c>
      <c r="I16" s="299">
        <v>8</v>
      </c>
      <c r="J16" s="301">
        <v>365</v>
      </c>
      <c r="K16" s="25">
        <f>C16*H16*I16*J16</f>
        <v>188116.328</v>
      </c>
    </row>
    <row r="17" spans="1:11" ht="15">
      <c r="A17" s="15"/>
      <c r="B17" s="16" t="s">
        <v>800</v>
      </c>
      <c r="C17" s="15"/>
      <c r="D17" s="15"/>
      <c r="E17" s="15"/>
      <c r="F17" s="15"/>
      <c r="G17" s="15"/>
      <c r="H17" s="23"/>
      <c r="I17" s="23"/>
      <c r="J17" s="23"/>
      <c r="K17" s="23"/>
    </row>
    <row r="18" spans="1:11" ht="19.5" customHeight="1">
      <c r="A18" s="18" t="s">
        <v>285</v>
      </c>
      <c r="B18" s="56" t="s">
        <v>385</v>
      </c>
      <c r="C18" s="56"/>
      <c r="D18" s="56"/>
      <c r="E18" s="56"/>
      <c r="F18" s="56"/>
      <c r="G18" s="19">
        <f>SUM(G19:G23)</f>
        <v>0</v>
      </c>
      <c r="H18" s="584"/>
      <c r="I18" s="584"/>
      <c r="J18" s="584"/>
      <c r="K18" s="20">
        <f>SUM(K19:K23)</f>
        <v>0</v>
      </c>
    </row>
    <row r="19" spans="1:11" ht="15" hidden="1">
      <c r="A19" s="17" t="s">
        <v>334</v>
      </c>
      <c r="B19" s="21"/>
      <c r="C19" s="9"/>
      <c r="D19" s="9"/>
      <c r="E19" s="9"/>
      <c r="F19" s="9"/>
      <c r="G19" s="9"/>
      <c r="H19" s="22"/>
      <c r="I19" s="22"/>
      <c r="J19" s="22"/>
      <c r="K19" s="21"/>
    </row>
    <row r="20" spans="1:11" ht="15">
      <c r="A20" s="849" t="str">
        <f>A$18&amp;"."&amp;ROW(A1)</f>
        <v>2.1</v>
      </c>
      <c r="B20" s="226"/>
      <c r="C20" s="300"/>
      <c r="D20" s="300"/>
      <c r="E20" s="300"/>
      <c r="F20" s="301"/>
      <c r="G20" s="25">
        <f>C20*D20*E20*F20</f>
        <v>0</v>
      </c>
      <c r="H20" s="299"/>
      <c r="I20" s="299"/>
      <c r="J20" s="1003"/>
      <c r="K20" s="25">
        <f>C20*H20*I20*J20</f>
        <v>0</v>
      </c>
    </row>
    <row r="21" spans="1:11" ht="15">
      <c r="A21" s="849" t="str">
        <f>A$18&amp;"."&amp;ROW(A2)</f>
        <v>2.2</v>
      </c>
      <c r="B21" s="226"/>
      <c r="C21" s="300"/>
      <c r="D21" s="300"/>
      <c r="E21" s="300"/>
      <c r="F21" s="301"/>
      <c r="G21" s="25">
        <f>C21*D21*E21*F21</f>
        <v>0</v>
      </c>
      <c r="H21" s="299"/>
      <c r="I21" s="299"/>
      <c r="J21" s="1003"/>
      <c r="K21" s="25">
        <f>C21*H21*I21*J21</f>
        <v>0</v>
      </c>
    </row>
    <row r="22" spans="1:11" ht="15">
      <c r="A22" s="849" t="str">
        <f>A$18&amp;"."&amp;ROW(A3)</f>
        <v>2.3</v>
      </c>
      <c r="B22" s="226"/>
      <c r="C22" s="300"/>
      <c r="D22" s="300"/>
      <c r="E22" s="300"/>
      <c r="F22" s="301"/>
      <c r="G22" s="25">
        <f>C22*D22*E22*F22</f>
        <v>0</v>
      </c>
      <c r="H22" s="299"/>
      <c r="I22" s="299"/>
      <c r="J22" s="1003"/>
      <c r="K22" s="25">
        <f>C22*H22*I22*J22</f>
        <v>0</v>
      </c>
    </row>
    <row r="23" spans="1:11" ht="15">
      <c r="A23" s="15"/>
      <c r="B23" s="16" t="s">
        <v>800</v>
      </c>
      <c r="C23" s="15"/>
      <c r="D23" s="15"/>
      <c r="E23" s="15"/>
      <c r="F23" s="15"/>
      <c r="G23" s="15"/>
      <c r="H23" s="23"/>
      <c r="I23" s="23"/>
      <c r="J23" s="23"/>
      <c r="K23" s="23"/>
    </row>
    <row r="24" spans="1:11" ht="15">
      <c r="A24" s="18" t="s">
        <v>152</v>
      </c>
      <c r="B24" s="585" t="s">
        <v>386</v>
      </c>
      <c r="C24" s="24"/>
      <c r="D24" s="56"/>
      <c r="E24" s="56"/>
      <c r="F24" s="56"/>
      <c r="G24" s="577"/>
      <c r="H24" s="584"/>
      <c r="I24" s="584"/>
      <c r="J24" s="584"/>
      <c r="K24" s="577"/>
    </row>
    <row r="25" spans="1:11" ht="15">
      <c r="A25" s="13"/>
      <c r="B25" s="14" t="s">
        <v>339</v>
      </c>
      <c r="C25" s="24"/>
      <c r="D25" s="24"/>
      <c r="E25" s="24"/>
      <c r="F25" s="24"/>
      <c r="G25" s="25">
        <f>G10+G18+G24</f>
        <v>146264.831152</v>
      </c>
      <c r="H25" s="26"/>
      <c r="I25" s="26"/>
      <c r="J25" s="26"/>
      <c r="K25" s="27">
        <f>K10+K18+K24</f>
        <v>188116.328</v>
      </c>
    </row>
    <row r="26" spans="1:11" ht="30" customHeight="1">
      <c r="A26" s="28"/>
      <c r="B26" s="14" t="s">
        <v>387</v>
      </c>
      <c r="C26" s="24"/>
      <c r="D26" s="24"/>
      <c r="E26" s="24"/>
      <c r="F26" s="24"/>
      <c r="G26" s="46">
        <f>'Баланс ВС'!F10*1000</f>
        <v>90700</v>
      </c>
      <c r="H26" s="26"/>
      <c r="I26" s="26"/>
      <c r="J26" s="26"/>
      <c r="K26" s="833">
        <f>'Баланс ВС'!H10*1000</f>
        <v>117000</v>
      </c>
    </row>
    <row r="27" spans="1:11" ht="15">
      <c r="A27" s="28"/>
      <c r="B27" s="11" t="s">
        <v>388</v>
      </c>
      <c r="C27" s="24"/>
      <c r="D27" s="24"/>
      <c r="E27" s="24"/>
      <c r="F27" s="24"/>
      <c r="G27" s="12">
        <f>IF(G26=0,0,G10/G26)</f>
        <v>1.6126221736714443</v>
      </c>
      <c r="H27" s="26"/>
      <c r="I27" s="26"/>
      <c r="J27" s="26"/>
      <c r="K27" s="29">
        <f>IF(K26=0,0,K10/K26)</f>
        <v>1.6078318632478634</v>
      </c>
    </row>
    <row r="28" spans="1:11" ht="15">
      <c r="A28" s="558"/>
      <c r="B28" s="558"/>
      <c r="C28" s="558"/>
      <c r="D28" s="558"/>
      <c r="E28" s="558"/>
      <c r="F28" s="558"/>
      <c r="G28" s="558"/>
      <c r="H28" s="558"/>
      <c r="I28" s="558"/>
      <c r="J28" s="558"/>
      <c r="K28" s="558"/>
    </row>
    <row r="29" spans="1:11" ht="15">
      <c r="A29" s="564" t="s">
        <v>350</v>
      </c>
      <c r="B29" s="566"/>
      <c r="C29" s="566"/>
      <c r="D29" s="566"/>
      <c r="E29" s="566"/>
      <c r="F29" s="566"/>
      <c r="G29" s="566"/>
      <c r="H29" s="566"/>
      <c r="I29" s="566"/>
      <c r="J29" s="566"/>
      <c r="K29" s="566"/>
    </row>
    <row r="30" spans="1:11" ht="15">
      <c r="A30" s="565"/>
      <c r="B30" s="586"/>
      <c r="C30" s="566"/>
      <c r="D30" s="566"/>
      <c r="E30" s="566"/>
      <c r="F30" s="566"/>
      <c r="G30" s="566"/>
      <c r="H30" s="566"/>
      <c r="I30" s="566"/>
      <c r="J30" s="566"/>
      <c r="K30" s="566"/>
    </row>
    <row r="31" spans="1:11" ht="15">
      <c r="A31" s="886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  <c r="B31" s="568"/>
      <c r="C31" s="566"/>
      <c r="D31" s="566"/>
      <c r="E31" s="566"/>
      <c r="F31" s="566"/>
      <c r="G31" s="566"/>
      <c r="H31" s="566"/>
      <c r="I31" s="566"/>
      <c r="J31" s="566"/>
      <c r="K31" s="566"/>
    </row>
    <row r="32" ht="15">
      <c r="B32" s="1008" t="s">
        <v>219</v>
      </c>
    </row>
  </sheetData>
  <sheetProtection password="CF72" sheet="1" objects="1" scenarios="1"/>
  <mergeCells count="7">
    <mergeCell ref="A6:A8"/>
    <mergeCell ref="B6:B8"/>
    <mergeCell ref="C6:C7"/>
    <mergeCell ref="D6:G6"/>
    <mergeCell ref="H6:K6"/>
    <mergeCell ref="D7:D8"/>
    <mergeCell ref="H7:H8"/>
  </mergeCells>
  <dataValidations count="5">
    <dataValidation type="decimal" allowBlank="1" showErrorMessage="1" errorTitle="Ошибка" error="Допускается ввод только действительных чисел!" sqref="K12:K16 K20:K22 G12:G16 G20:G22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2:B16 B20:B22">
      <formula1>900</formula1>
    </dataValidation>
    <dataValidation type="decimal" allowBlank="1" showErrorMessage="1" errorTitle="Ошибка" error="Допускается ввод только неотрицательных чисел!" sqref="C12:E16 C20:E22 H12:I16 H20:I22">
      <formula1>0</formula1>
      <formula2>9.99999999999999E+23</formula2>
    </dataValidation>
    <dataValidation type="whole" allowBlank="1" showErrorMessage="1" errorTitle="Ошибка" error="Допускается ввод только целых чисел!" sqref="J12:J16 F20:F22 F12:F16 J20:J22">
      <formula1>-999999999999999000000000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C24:E24 G24:I24 K24 K10 G10:I10 C10:E10 C18:E18 G18:I18 K18">
      <formula1>0</formula1>
    </dataValidation>
  </dataValidations>
  <printOptions/>
  <pageMargins left="0.25" right="0.25" top="0.75" bottom="0.75" header="0.3" footer="0.3"/>
  <pageSetup fitToHeight="1" fitToWidth="1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2:O57"/>
  <sheetViews>
    <sheetView zoomScalePageLayoutView="0" workbookViewId="0" topLeftCell="B19">
      <selection activeCell="G51" sqref="G51"/>
    </sheetView>
  </sheetViews>
  <sheetFormatPr defaultColWidth="9.140625" defaultRowHeight="15"/>
  <cols>
    <col min="1" max="1" width="2.421875" style="513" hidden="1" customWidth="1"/>
    <col min="2" max="2" width="6.421875" style="513" customWidth="1"/>
    <col min="3" max="3" width="21.140625" style="513" customWidth="1"/>
    <col min="4" max="4" width="18.57421875" style="513" customWidth="1"/>
    <col min="5" max="5" width="12.140625" style="513" customWidth="1"/>
    <col min="6" max="6" width="13.421875" style="513" customWidth="1"/>
    <col min="7" max="7" width="14.57421875" style="513" customWidth="1"/>
    <col min="8" max="8" width="12.421875" style="513" customWidth="1"/>
    <col min="9" max="9" width="16.00390625" style="513" customWidth="1"/>
    <col min="10" max="10" width="14.00390625" style="513" customWidth="1"/>
    <col min="11" max="11" width="12.57421875" style="513" customWidth="1"/>
    <col min="12" max="13" width="12.421875" style="513" customWidth="1"/>
    <col min="14" max="14" width="17.140625" style="513" customWidth="1"/>
    <col min="15" max="15" width="15.421875" style="513" customWidth="1"/>
    <col min="16" max="16384" width="9.140625" style="513" customWidth="1"/>
  </cols>
  <sheetData>
    <row r="2" spans="2:15" ht="15">
      <c r="B2" s="547" t="s">
        <v>389</v>
      </c>
      <c r="C2" s="547"/>
      <c r="D2" s="547"/>
      <c r="E2" s="547"/>
      <c r="F2" s="587"/>
      <c r="G2" s="587"/>
      <c r="H2" s="587"/>
      <c r="I2" s="587"/>
      <c r="J2" s="567"/>
      <c r="K2" s="567"/>
      <c r="L2" s="567"/>
      <c r="M2" s="567"/>
      <c r="N2" s="567"/>
      <c r="O2" s="567"/>
    </row>
    <row r="3" spans="1:15" ht="15">
      <c r="A3" s="549" t="str">
        <f>Титульный!$B$10</f>
        <v>ООО "Дирекция Голицыно-3"</v>
      </c>
      <c r="B3" s="310" t="str">
        <f>Титульный!$B$10</f>
        <v>ООО "Дирекция Голицыно-3"</v>
      </c>
      <c r="C3" s="311"/>
      <c r="D3" s="311"/>
      <c r="E3" s="311"/>
      <c r="F3" s="557"/>
      <c r="G3" s="557"/>
      <c r="H3" s="557"/>
      <c r="I3" s="557"/>
      <c r="J3" s="588"/>
      <c r="K3" s="588"/>
      <c r="L3" s="588"/>
      <c r="M3" s="588"/>
      <c r="N3" s="588"/>
      <c r="O3" s="588"/>
    </row>
    <row r="4" spans="1:15" ht="15">
      <c r="A4" s="551" t="str">
        <f>IF(Титульный!$B$12=0,Титульный!$B$11,CONCATENATE(Титульный!$B$11,", ",Титульный!$B$12))</f>
        <v>Наро-Фоминский м.р.</v>
      </c>
      <c r="B4" s="313" t="str">
        <f>IF(Титульный!B11=0,Титульный!B12,IF(Титульный!$B$12=0,Титульный!$B$11,CONCATENATE(Титульный!$B$11,", ",Титульный!$B$12)))</f>
        <v>Наро-Фоминский м.р.</v>
      </c>
      <c r="C4" s="589"/>
      <c r="D4" s="590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</row>
    <row r="5" spans="1:15" ht="15">
      <c r="A5" s="591"/>
      <c r="B5" s="592"/>
      <c r="C5" s="589"/>
      <c r="D5" s="590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</row>
    <row r="6" spans="2:15" ht="15">
      <c r="B6" s="1567" t="s">
        <v>238</v>
      </c>
      <c r="C6" s="1567" t="s">
        <v>390</v>
      </c>
      <c r="D6" s="1567" t="s">
        <v>391</v>
      </c>
      <c r="E6" s="1566" t="s">
        <v>392</v>
      </c>
      <c r="F6" s="1566" t="s">
        <v>393</v>
      </c>
      <c r="G6" s="1579" t="s">
        <v>1295</v>
      </c>
      <c r="H6" s="1567"/>
      <c r="I6" s="1567"/>
      <c r="J6" s="1579" t="s">
        <v>1293</v>
      </c>
      <c r="K6" s="1567"/>
      <c r="L6" s="1567"/>
      <c r="M6" s="1567"/>
      <c r="N6" s="1567"/>
      <c r="O6" s="1567"/>
    </row>
    <row r="7" spans="2:15" ht="28.5" customHeight="1">
      <c r="B7" s="1580"/>
      <c r="C7" s="1580"/>
      <c r="D7" s="1580"/>
      <c r="E7" s="1580"/>
      <c r="F7" s="1580"/>
      <c r="G7" s="1566" t="s">
        <v>394</v>
      </c>
      <c r="H7" s="1567" t="s">
        <v>395</v>
      </c>
      <c r="I7" s="1567" t="s">
        <v>396</v>
      </c>
      <c r="J7" s="1566" t="s">
        <v>397</v>
      </c>
      <c r="K7" s="1567" t="s">
        <v>398</v>
      </c>
      <c r="L7" s="1567" t="s">
        <v>399</v>
      </c>
      <c r="M7" s="1567"/>
      <c r="N7" s="1567" t="s">
        <v>400</v>
      </c>
      <c r="O7" s="1567" t="s">
        <v>396</v>
      </c>
    </row>
    <row r="8" spans="2:15" ht="30" customHeight="1">
      <c r="B8" s="1580"/>
      <c r="C8" s="1580"/>
      <c r="D8" s="1580"/>
      <c r="E8" s="1580"/>
      <c r="F8" s="1580"/>
      <c r="G8" s="1566"/>
      <c r="H8" s="1567"/>
      <c r="I8" s="1567"/>
      <c r="J8" s="1566"/>
      <c r="K8" s="1567"/>
      <c r="L8" s="552" t="s">
        <v>401</v>
      </c>
      <c r="M8" s="552" t="s">
        <v>402</v>
      </c>
      <c r="N8" s="1567"/>
      <c r="O8" s="1567"/>
    </row>
    <row r="9" spans="2:15" ht="15">
      <c r="B9" s="1580"/>
      <c r="C9" s="1580"/>
      <c r="D9" s="1580"/>
      <c r="E9" s="552" t="s">
        <v>56</v>
      </c>
      <c r="F9" s="552" t="s">
        <v>56</v>
      </c>
      <c r="G9" s="552" t="s">
        <v>56</v>
      </c>
      <c r="H9" s="552" t="s">
        <v>50</v>
      </c>
      <c r="I9" s="552" t="s">
        <v>50</v>
      </c>
      <c r="J9" s="552" t="s">
        <v>56</v>
      </c>
      <c r="K9" s="552" t="s">
        <v>50</v>
      </c>
      <c r="L9" s="552"/>
      <c r="M9" s="552" t="s">
        <v>50</v>
      </c>
      <c r="N9" s="552" t="s">
        <v>50</v>
      </c>
      <c r="O9" s="552" t="s">
        <v>50</v>
      </c>
    </row>
    <row r="10" spans="2:15" ht="15">
      <c r="B10" s="9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  <c r="L10" s="9">
        <v>11</v>
      </c>
      <c r="M10" s="9">
        <v>12</v>
      </c>
      <c r="N10" s="9">
        <v>13</v>
      </c>
      <c r="O10" s="9">
        <v>14</v>
      </c>
    </row>
    <row r="11" spans="2:15" ht="15">
      <c r="B11" s="593">
        <v>1</v>
      </c>
      <c r="C11" s="594" t="s">
        <v>410</v>
      </c>
      <c r="D11" s="594"/>
      <c r="E11" s="25">
        <f>SUM(E12:E15)</f>
        <v>6</v>
      </c>
      <c r="F11" s="25">
        <f>SUM(F12:F15)</f>
        <v>6</v>
      </c>
      <c r="G11" s="25">
        <f>SUM(G12:G15)</f>
        <v>6</v>
      </c>
      <c r="H11" s="297">
        <f>1439320</f>
        <v>1439320</v>
      </c>
      <c r="I11" s="27">
        <f>IF(G11=0,0,H11/'Расчет тарифов'!$H$15/G11)</f>
        <v>19990.555555555555</v>
      </c>
      <c r="J11" s="25">
        <f>SUM(J12:J15)</f>
        <v>3</v>
      </c>
      <c r="K11" s="34"/>
      <c r="L11" s="34"/>
      <c r="M11" s="34"/>
      <c r="N11" s="25">
        <f>SUM(N12:N15)</f>
        <v>63810</v>
      </c>
      <c r="O11" s="25">
        <f>IF(J11=0,0,N11/J11)</f>
        <v>21270</v>
      </c>
    </row>
    <row r="12" spans="2:15" ht="30">
      <c r="B12" s="849" t="str">
        <f>B$11&amp;"."&amp;ROW(A1)</f>
        <v>1.1</v>
      </c>
      <c r="C12" s="1080" t="s">
        <v>1026</v>
      </c>
      <c r="D12" s="1082" t="s">
        <v>1027</v>
      </c>
      <c r="E12" s="299">
        <v>1</v>
      </c>
      <c r="F12" s="299">
        <v>1</v>
      </c>
      <c r="G12" s="299">
        <v>1</v>
      </c>
      <c r="H12" s="31"/>
      <c r="I12" s="31"/>
      <c r="J12" s="299"/>
      <c r="K12" s="299"/>
      <c r="L12" s="299"/>
      <c r="M12" s="25">
        <f>L12*K12</f>
        <v>0</v>
      </c>
      <c r="N12" s="25">
        <f>J12*(K12+M12)</f>
        <v>0</v>
      </c>
      <c r="O12" s="31"/>
    </row>
    <row r="13" spans="2:15" ht="30">
      <c r="B13" s="849" t="str">
        <f>B$11&amp;"."&amp;ROW(A2)</f>
        <v>1.2</v>
      </c>
      <c r="C13" s="1080" t="s">
        <v>1028</v>
      </c>
      <c r="D13" s="1082" t="s">
        <v>1027</v>
      </c>
      <c r="E13" s="299">
        <v>1</v>
      </c>
      <c r="F13" s="299">
        <v>1</v>
      </c>
      <c r="G13" s="299">
        <v>1</v>
      </c>
      <c r="H13" s="31"/>
      <c r="I13" s="31"/>
      <c r="J13" s="299"/>
      <c r="K13" s="299"/>
      <c r="L13" s="299"/>
      <c r="M13" s="25">
        <f>L13*K13</f>
        <v>0</v>
      </c>
      <c r="N13" s="25">
        <f>J13*(K13+M13)</f>
        <v>0</v>
      </c>
      <c r="O13" s="31"/>
    </row>
    <row r="14" spans="2:15" ht="30">
      <c r="B14" s="849" t="str">
        <f>B$11&amp;"."&amp;ROW(A3)</f>
        <v>1.3</v>
      </c>
      <c r="C14" s="1080" t="s">
        <v>1029</v>
      </c>
      <c r="D14" s="1082" t="s">
        <v>1027</v>
      </c>
      <c r="E14" s="299">
        <v>4</v>
      </c>
      <c r="F14" s="299">
        <v>4</v>
      </c>
      <c r="G14" s="299">
        <v>4</v>
      </c>
      <c r="H14" s="31"/>
      <c r="I14" s="31"/>
      <c r="J14" s="299">
        <v>3</v>
      </c>
      <c r="K14" s="299">
        <v>21270</v>
      </c>
      <c r="L14" s="299"/>
      <c r="M14" s="25">
        <f>L14*K14</f>
        <v>0</v>
      </c>
      <c r="N14" s="25">
        <f>J14*(K14+M14)</f>
        <v>63810</v>
      </c>
      <c r="O14" s="31"/>
    </row>
    <row r="15" spans="2:15" ht="15">
      <c r="B15" s="847"/>
      <c r="C15" s="16" t="s">
        <v>801</v>
      </c>
      <c r="D15" s="15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2:15" ht="15">
      <c r="B16" s="851">
        <v>2</v>
      </c>
      <c r="C16" s="594" t="s">
        <v>411</v>
      </c>
      <c r="D16" s="594"/>
      <c r="E16" s="25">
        <f>SUM(E17:E20)</f>
        <v>0</v>
      </c>
      <c r="F16" s="25">
        <f>SUM(F17:F20)</f>
        <v>0</v>
      </c>
      <c r="G16" s="25">
        <f>SUM(G17:G20)</f>
        <v>0</v>
      </c>
      <c r="H16" s="297"/>
      <c r="I16" s="27">
        <f>IF(G16=0,0,H16/'Расчет тарифов'!$H$15/G16)</f>
        <v>0</v>
      </c>
      <c r="J16" s="25">
        <f>SUM(J17:J20)</f>
        <v>0</v>
      </c>
      <c r="K16" s="34"/>
      <c r="L16" s="34"/>
      <c r="M16" s="34"/>
      <c r="N16" s="25">
        <f>SUM(N17:N20)</f>
        <v>0</v>
      </c>
      <c r="O16" s="25">
        <f>IF(J16=0,0,N16/J16)</f>
        <v>0</v>
      </c>
    </row>
    <row r="17" spans="2:15" ht="15">
      <c r="B17" s="849" t="str">
        <f>B$16&amp;"."&amp;ROW(A1)</f>
        <v>2.1</v>
      </c>
      <c r="C17" s="1080"/>
      <c r="D17" s="1082"/>
      <c r="E17" s="299"/>
      <c r="F17" s="299"/>
      <c r="G17" s="299"/>
      <c r="H17" s="31"/>
      <c r="I17" s="31"/>
      <c r="J17" s="299"/>
      <c r="K17" s="299"/>
      <c r="L17" s="299">
        <v>0</v>
      </c>
      <c r="M17" s="25">
        <f>L17*K17</f>
        <v>0</v>
      </c>
      <c r="N17" s="25">
        <f>J17*(K17+M17)</f>
        <v>0</v>
      </c>
      <c r="O17" s="31"/>
    </row>
    <row r="18" spans="2:15" ht="15">
      <c r="B18" s="849" t="str">
        <f>B$16&amp;"."&amp;ROW(A2)</f>
        <v>2.2</v>
      </c>
      <c r="C18" s="231"/>
      <c r="D18" s="336"/>
      <c r="E18" s="299"/>
      <c r="F18" s="299"/>
      <c r="G18" s="299"/>
      <c r="H18" s="31"/>
      <c r="I18" s="31"/>
      <c r="J18" s="299">
        <f>G18</f>
        <v>0</v>
      </c>
      <c r="K18" s="299"/>
      <c r="L18" s="299"/>
      <c r="M18" s="25">
        <f>L18*K18</f>
        <v>0</v>
      </c>
      <c r="N18" s="25">
        <f>J18*(K18+M18)</f>
        <v>0</v>
      </c>
      <c r="O18" s="31"/>
    </row>
    <row r="19" spans="2:15" ht="15">
      <c r="B19" s="849" t="str">
        <f>B$16&amp;"."&amp;ROW(A3)</f>
        <v>2.3</v>
      </c>
      <c r="C19" s="231"/>
      <c r="D19" s="336"/>
      <c r="E19" s="299"/>
      <c r="F19" s="299"/>
      <c r="G19" s="299"/>
      <c r="H19" s="31"/>
      <c r="I19" s="31"/>
      <c r="J19" s="299">
        <f>G19</f>
        <v>0</v>
      </c>
      <c r="K19" s="299"/>
      <c r="L19" s="299"/>
      <c r="M19" s="25">
        <f>L19*K19</f>
        <v>0</v>
      </c>
      <c r="N19" s="25">
        <f>J19*(K19+M19)</f>
        <v>0</v>
      </c>
      <c r="O19" s="31"/>
    </row>
    <row r="20" spans="2:15" ht="15">
      <c r="B20" s="847"/>
      <c r="C20" s="16" t="s">
        <v>801</v>
      </c>
      <c r="D20" s="15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2:15" ht="18" customHeight="1">
      <c r="B21" s="851">
        <v>3</v>
      </c>
      <c r="C21" s="595" t="s">
        <v>403</v>
      </c>
      <c r="D21" s="595"/>
      <c r="E21" s="25">
        <f>SUM(E22:E25)</f>
        <v>0</v>
      </c>
      <c r="F21" s="25">
        <f>SUM(F22:F25)</f>
        <v>0</v>
      </c>
      <c r="G21" s="25">
        <f>SUM(G22:G25)</f>
        <v>0</v>
      </c>
      <c r="H21" s="297"/>
      <c r="I21" s="27">
        <f>IF(G21=0,0,H21/'Расчет тарифов'!$H$15/G21)</f>
        <v>0</v>
      </c>
      <c r="J21" s="25">
        <f>SUM(J22:J25)</f>
        <v>0</v>
      </c>
      <c r="K21" s="34"/>
      <c r="L21" s="34"/>
      <c r="M21" s="34"/>
      <c r="N21" s="25">
        <f>SUM(N22:N25)</f>
        <v>0</v>
      </c>
      <c r="O21" s="25">
        <f>IF(J21=0,0,N21/J21)</f>
        <v>0</v>
      </c>
    </row>
    <row r="22" spans="2:15" ht="15">
      <c r="B22" s="849" t="str">
        <f>B$21&amp;"."&amp;ROW(A1)</f>
        <v>3.1</v>
      </c>
      <c r="C22" s="231"/>
      <c r="D22" s="336"/>
      <c r="E22" s="299"/>
      <c r="F22" s="299"/>
      <c r="G22" s="299"/>
      <c r="H22" s="31"/>
      <c r="I22" s="31"/>
      <c r="J22" s="299">
        <v>0</v>
      </c>
      <c r="K22" s="299"/>
      <c r="L22" s="299">
        <v>0</v>
      </c>
      <c r="M22" s="25">
        <f>L22*K22</f>
        <v>0</v>
      </c>
      <c r="N22" s="25">
        <f>J22*(K22+M22)</f>
        <v>0</v>
      </c>
      <c r="O22" s="31"/>
    </row>
    <row r="23" spans="2:15" ht="15">
      <c r="B23" s="849" t="str">
        <f>B$21&amp;"."&amp;ROW(A2)</f>
        <v>3.2</v>
      </c>
      <c r="C23" s="231"/>
      <c r="D23" s="336"/>
      <c r="E23" s="299"/>
      <c r="F23" s="299"/>
      <c r="G23" s="299"/>
      <c r="H23" s="31"/>
      <c r="I23" s="31"/>
      <c r="J23" s="299">
        <f>G23</f>
        <v>0</v>
      </c>
      <c r="K23" s="299"/>
      <c r="L23" s="299"/>
      <c r="M23" s="25">
        <f>L23*K23</f>
        <v>0</v>
      </c>
      <c r="N23" s="25">
        <f>J23*(K23+M23)</f>
        <v>0</v>
      </c>
      <c r="O23" s="31"/>
    </row>
    <row r="24" spans="2:15" ht="15">
      <c r="B24" s="849" t="str">
        <f>B$21&amp;"."&amp;ROW(A3)</f>
        <v>3.3</v>
      </c>
      <c r="C24" s="231"/>
      <c r="D24" s="336"/>
      <c r="E24" s="299"/>
      <c r="F24" s="299"/>
      <c r="G24" s="299"/>
      <c r="H24" s="31"/>
      <c r="I24" s="31"/>
      <c r="J24" s="299">
        <f>G24</f>
        <v>0</v>
      </c>
      <c r="K24" s="299"/>
      <c r="L24" s="299"/>
      <c r="M24" s="25">
        <f>L24*K24</f>
        <v>0</v>
      </c>
      <c r="N24" s="25">
        <f>J24*(K24+M24)</f>
        <v>0</v>
      </c>
      <c r="O24" s="31"/>
    </row>
    <row r="25" spans="2:15" ht="15">
      <c r="B25" s="847"/>
      <c r="C25" s="16" t="s">
        <v>801</v>
      </c>
      <c r="D25" s="15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5" ht="15">
      <c r="B26" s="851">
        <v>4</v>
      </c>
      <c r="C26" s="594" t="s">
        <v>404</v>
      </c>
      <c r="D26" s="594"/>
      <c r="E26" s="25">
        <f>SUM(E27:E30)</f>
        <v>0</v>
      </c>
      <c r="F26" s="25">
        <f>SUM(F27:F30)</f>
        <v>0</v>
      </c>
      <c r="G26" s="25">
        <f>SUM(G27:G30)</f>
        <v>0</v>
      </c>
      <c r="H26" s="297"/>
      <c r="I26" s="27">
        <f>IF(G26=0,0,H26/'Расчет тарифов'!$H$15/G26)</f>
        <v>0</v>
      </c>
      <c r="J26" s="25">
        <f>SUM(J27:J30)</f>
        <v>0</v>
      </c>
      <c r="K26" s="34"/>
      <c r="L26" s="34"/>
      <c r="M26" s="34"/>
      <c r="N26" s="25">
        <f>SUM(N27:N30)</f>
        <v>0</v>
      </c>
      <c r="O26" s="25">
        <f>IF(J26=0,0,N26/J26)</f>
        <v>0</v>
      </c>
    </row>
    <row r="27" spans="2:15" ht="15">
      <c r="B27" s="849" t="str">
        <f>B$26&amp;"."&amp;ROW(A1)</f>
        <v>4.1</v>
      </c>
      <c r="C27" s="231"/>
      <c r="D27" s="336"/>
      <c r="E27" s="299"/>
      <c r="F27" s="299"/>
      <c r="G27" s="299"/>
      <c r="H27" s="31"/>
      <c r="I27" s="31"/>
      <c r="J27" s="299">
        <f>G27</f>
        <v>0</v>
      </c>
      <c r="K27" s="299"/>
      <c r="L27" s="299">
        <v>0</v>
      </c>
      <c r="M27" s="25">
        <f>L27*K27</f>
        <v>0</v>
      </c>
      <c r="N27" s="25">
        <f>J27*(K27+M27)</f>
        <v>0</v>
      </c>
      <c r="O27" s="31"/>
    </row>
    <row r="28" spans="2:15" ht="15">
      <c r="B28" s="849" t="str">
        <f>B$26&amp;"."&amp;ROW(A2)</f>
        <v>4.2</v>
      </c>
      <c r="C28" s="231"/>
      <c r="D28" s="336"/>
      <c r="E28" s="299"/>
      <c r="F28" s="299"/>
      <c r="G28" s="299"/>
      <c r="H28" s="31"/>
      <c r="I28" s="31"/>
      <c r="J28" s="299">
        <f>G28</f>
        <v>0</v>
      </c>
      <c r="K28" s="299"/>
      <c r="L28" s="299"/>
      <c r="M28" s="25">
        <f>L28*K28</f>
        <v>0</v>
      </c>
      <c r="N28" s="25">
        <f>J28*(K28+M28)</f>
        <v>0</v>
      </c>
      <c r="O28" s="31"/>
    </row>
    <row r="29" spans="2:15" ht="15">
      <c r="B29" s="849" t="str">
        <f>B$26&amp;"."&amp;ROW(A3)</f>
        <v>4.3</v>
      </c>
      <c r="C29" s="231"/>
      <c r="D29" s="336"/>
      <c r="E29" s="299"/>
      <c r="F29" s="299"/>
      <c r="G29" s="299"/>
      <c r="H29" s="31"/>
      <c r="I29" s="31"/>
      <c r="J29" s="299">
        <f>G29</f>
        <v>0</v>
      </c>
      <c r="K29" s="299"/>
      <c r="L29" s="299"/>
      <c r="M29" s="25">
        <f>L29*K29</f>
        <v>0</v>
      </c>
      <c r="N29" s="25">
        <f>J29*(K29+M29)</f>
        <v>0</v>
      </c>
      <c r="O29" s="31"/>
    </row>
    <row r="30" spans="2:15" ht="15">
      <c r="B30" s="15"/>
      <c r="C30" s="16" t="s">
        <v>801</v>
      </c>
      <c r="D30" s="15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 ht="27.75" customHeight="1">
      <c r="B31" s="595"/>
      <c r="C31" s="14" t="s">
        <v>405</v>
      </c>
      <c r="D31" s="33"/>
      <c r="E31" s="25">
        <f>E11+E16+E21+E26</f>
        <v>6</v>
      </c>
      <c r="F31" s="25">
        <f>F11+F16+F21+F26</f>
        <v>6</v>
      </c>
      <c r="G31" s="25">
        <f>G11+G16+G21+G26</f>
        <v>6</v>
      </c>
      <c r="H31" s="25">
        <f>H11+H16+H21+H26</f>
        <v>1439320</v>
      </c>
      <c r="I31" s="34"/>
      <c r="J31" s="25">
        <f>J11+J16+J21+J26</f>
        <v>3</v>
      </c>
      <c r="K31" s="34"/>
      <c r="L31" s="34"/>
      <c r="M31" s="34"/>
      <c r="N31" s="25">
        <f>N11+N16+N21+N26</f>
        <v>63810</v>
      </c>
      <c r="O31" s="34"/>
    </row>
    <row r="32" spans="2:15" ht="15">
      <c r="B32" s="589"/>
      <c r="C32" s="589"/>
      <c r="D32" s="589"/>
      <c r="E32" s="589"/>
      <c r="F32" s="589"/>
      <c r="G32" s="589"/>
      <c r="H32" s="589"/>
      <c r="I32" s="589"/>
      <c r="J32" s="589"/>
      <c r="K32" s="589"/>
      <c r="L32" s="589"/>
      <c r="M32" s="589"/>
      <c r="N32" s="589"/>
      <c r="O32" s="589"/>
    </row>
    <row r="33" spans="2:15" ht="15">
      <c r="B33" s="596" t="s">
        <v>361</v>
      </c>
      <c r="C33" s="567"/>
      <c r="D33" s="567"/>
      <c r="E33" s="567"/>
      <c r="F33" s="567"/>
      <c r="G33" s="567"/>
      <c r="H33" s="572"/>
      <c r="I33" s="572"/>
      <c r="J33" s="572"/>
      <c r="K33" s="572"/>
      <c r="L33" s="572"/>
      <c r="M33" s="572"/>
      <c r="N33" s="572"/>
      <c r="O33" s="572"/>
    </row>
    <row r="34" spans="2:15" ht="15">
      <c r="B34" s="565"/>
      <c r="C34" s="566"/>
      <c r="D34" s="566"/>
      <c r="E34" s="566"/>
      <c r="F34" s="566"/>
      <c r="G34" s="566"/>
      <c r="H34" s="572"/>
      <c r="I34" s="572"/>
      <c r="J34" s="566"/>
      <c r="K34" s="572"/>
      <c r="L34" s="572"/>
      <c r="M34" s="572"/>
      <c r="N34" s="572"/>
      <c r="O34" s="572"/>
    </row>
    <row r="35" spans="2:15" ht="15">
      <c r="B35" s="568" t="str">
        <f>Титульный!$B$48&amp;" /____________________/ ("&amp;MID(Титульный!$B$47,1,SEARCH(" ",Титульный!$B$47)-1)&amp;" "&amp;MID(Титульный!$B$47,SEARCH(" ",Титульный!$B$47)+1,1)&amp;"."&amp;MID(Титульный!$B$47,SEARCH(" ",Титульный!$B$47,SEARCH(" ",Титульный!$B$47)+1)+1,1)&amp;"."&amp;")"</f>
        <v>Генеральный директор /____________________/ (Седов Ю.В.)</v>
      </c>
      <c r="C35" s="566"/>
      <c r="D35" s="566"/>
      <c r="E35" s="569"/>
      <c r="F35" s="569"/>
      <c r="G35" s="569"/>
      <c r="H35" s="572"/>
      <c r="I35" s="572"/>
      <c r="J35" s="569"/>
      <c r="K35" s="572"/>
      <c r="L35" s="572"/>
      <c r="M35" s="572"/>
      <c r="N35" s="572"/>
      <c r="O35" s="572"/>
    </row>
    <row r="36" spans="2:15" ht="15">
      <c r="B36" s="572"/>
      <c r="C36" s="1008" t="s">
        <v>219</v>
      </c>
      <c r="D36" s="572"/>
      <c r="E36" s="588"/>
      <c r="F36" s="588"/>
      <c r="G36" s="588"/>
      <c r="H36" s="572"/>
      <c r="I36" s="572"/>
      <c r="J36" s="588"/>
      <c r="K36" s="572"/>
      <c r="L36" s="572"/>
      <c r="M36" s="572"/>
      <c r="N36" s="572"/>
      <c r="O36" s="572"/>
    </row>
    <row r="37" spans="2:15" ht="15">
      <c r="B37" s="572"/>
      <c r="C37" s="572"/>
      <c r="D37" s="572"/>
      <c r="E37" s="572"/>
      <c r="F37" s="572"/>
      <c r="G37" s="572"/>
      <c r="H37" s="572"/>
      <c r="I37" s="572"/>
      <c r="J37" s="572"/>
      <c r="K37" s="572"/>
      <c r="L37" s="572"/>
      <c r="M37" s="572"/>
      <c r="N37" s="572"/>
      <c r="O37" s="572"/>
    </row>
    <row r="38" spans="2:15" ht="15">
      <c r="B38" s="1583" t="s">
        <v>406</v>
      </c>
      <c r="C38" s="1583"/>
      <c r="D38" s="1583"/>
      <c r="E38" s="1583"/>
      <c r="F38" s="1583"/>
      <c r="G38" s="1584"/>
      <c r="H38" s="586"/>
      <c r="I38" s="572"/>
      <c r="J38" s="572"/>
      <c r="K38" s="572"/>
      <c r="L38" s="572"/>
      <c r="M38" s="572"/>
      <c r="N38" s="572"/>
      <c r="O38" s="572"/>
    </row>
    <row r="39" spans="2:15" ht="15">
      <c r="B39" s="597"/>
      <c r="C39" s="597"/>
      <c r="D39" s="597"/>
      <c r="E39" s="597"/>
      <c r="F39" s="597"/>
      <c r="G39" s="598"/>
      <c r="H39" s="572"/>
      <c r="I39" s="572"/>
      <c r="J39" s="572"/>
      <c r="K39" s="572"/>
      <c r="L39" s="572"/>
      <c r="M39" s="572"/>
      <c r="N39" s="572"/>
      <c r="O39" s="572"/>
    </row>
    <row r="40" spans="2:11" ht="15" customHeight="1">
      <c r="B40" s="1585" t="s">
        <v>3</v>
      </c>
      <c r="C40" s="1585" t="s">
        <v>362</v>
      </c>
      <c r="D40" s="1581" t="s">
        <v>407</v>
      </c>
      <c r="E40" s="1582"/>
      <c r="F40" s="572"/>
      <c r="G40" s="572"/>
      <c r="H40" s="572"/>
      <c r="I40" s="572"/>
      <c r="J40" s="572"/>
      <c r="K40" s="572"/>
    </row>
    <row r="41" spans="2:11" ht="48.75" customHeight="1">
      <c r="B41" s="1585"/>
      <c r="C41" s="1585"/>
      <c r="D41" s="832" t="s">
        <v>408</v>
      </c>
      <c r="E41" s="832" t="s">
        <v>409</v>
      </c>
      <c r="F41" s="572"/>
      <c r="G41" s="572"/>
      <c r="H41" s="572"/>
      <c r="I41" s="572"/>
      <c r="J41" s="572"/>
      <c r="K41" s="572"/>
    </row>
    <row r="42" spans="2:11" ht="15">
      <c r="B42" s="9">
        <v>1</v>
      </c>
      <c r="C42" s="9">
        <v>2</v>
      </c>
      <c r="D42" s="9">
        <v>3</v>
      </c>
      <c r="E42" s="9">
        <v>4</v>
      </c>
      <c r="F42" s="566"/>
      <c r="G42" s="566"/>
      <c r="H42" s="566"/>
      <c r="I42" s="566"/>
      <c r="J42" s="566"/>
      <c r="K42" s="566"/>
    </row>
    <row r="43" spans="2:11" ht="19.5" customHeight="1">
      <c r="B43" s="601">
        <v>1</v>
      </c>
      <c r="C43" s="602" t="s">
        <v>368</v>
      </c>
      <c r="D43" s="35">
        <f>G31</f>
        <v>6</v>
      </c>
      <c r="E43" s="35">
        <f>H31</f>
        <v>1439320</v>
      </c>
      <c r="F43" s="572"/>
      <c r="G43" s="572"/>
      <c r="H43" s="572"/>
      <c r="I43" s="572"/>
      <c r="J43" s="572"/>
      <c r="K43" s="572"/>
    </row>
    <row r="44" spans="2:11" ht="15">
      <c r="B44" s="603" t="s">
        <v>332</v>
      </c>
      <c r="C44" s="604"/>
      <c r="D44" s="604"/>
      <c r="E44" s="604"/>
      <c r="F44" s="566"/>
      <c r="G44" s="566"/>
      <c r="H44" s="566"/>
      <c r="I44" s="566"/>
      <c r="J44" s="566"/>
      <c r="K44" s="566"/>
    </row>
    <row r="45" spans="2:11" ht="15">
      <c r="B45" s="15"/>
      <c r="C45" s="16"/>
      <c r="D45" s="15"/>
      <c r="E45" s="15"/>
      <c r="F45" s="566"/>
      <c r="G45" s="566"/>
      <c r="H45" s="566"/>
      <c r="I45" s="566"/>
      <c r="J45" s="566"/>
      <c r="K45" s="566"/>
    </row>
    <row r="46" spans="2:11" ht="21" customHeight="1">
      <c r="B46" s="601">
        <v>2</v>
      </c>
      <c r="C46" s="602" t="s">
        <v>370</v>
      </c>
      <c r="D46" s="297">
        <v>3</v>
      </c>
      <c r="E46" s="297">
        <v>721920</v>
      </c>
      <c r="F46" s="572"/>
      <c r="G46" s="572"/>
      <c r="H46" s="572"/>
      <c r="I46" s="572"/>
      <c r="J46" s="572"/>
      <c r="K46" s="572"/>
    </row>
    <row r="47" spans="2:11" ht="15">
      <c r="B47" s="603" t="s">
        <v>334</v>
      </c>
      <c r="C47" s="604"/>
      <c r="D47" s="604"/>
      <c r="E47" s="604"/>
      <c r="F47" s="566"/>
      <c r="G47" s="566"/>
      <c r="H47" s="566"/>
      <c r="I47" s="566"/>
      <c r="J47" s="566"/>
      <c r="K47" s="566"/>
    </row>
    <row r="48" spans="2:11" ht="15">
      <c r="B48" s="15"/>
      <c r="C48" s="16"/>
      <c r="D48" s="15"/>
      <c r="E48" s="15"/>
      <c r="F48" s="566"/>
      <c r="G48" s="566"/>
      <c r="H48" s="566"/>
      <c r="I48" s="566"/>
      <c r="J48" s="566"/>
      <c r="K48" s="566"/>
    </row>
    <row r="49" spans="2:11" ht="19.5" customHeight="1">
      <c r="B49" s="601">
        <v>3</v>
      </c>
      <c r="C49" s="602" t="s">
        <v>371</v>
      </c>
      <c r="D49" s="297"/>
      <c r="E49" s="297"/>
      <c r="F49" s="572"/>
      <c r="G49" s="572"/>
      <c r="H49" s="572"/>
      <c r="I49" s="572"/>
      <c r="J49" s="572"/>
      <c r="K49" s="572"/>
    </row>
    <row r="50" spans="2:11" ht="19.5" customHeight="1">
      <c r="B50" s="601">
        <v>4</v>
      </c>
      <c r="C50" s="602" t="s">
        <v>372</v>
      </c>
      <c r="D50" s="297"/>
      <c r="E50" s="297">
        <f>11477111.47-721920-1439320</f>
        <v>9315871.47</v>
      </c>
      <c r="F50" s="572"/>
      <c r="G50" s="572"/>
      <c r="H50" s="572"/>
      <c r="I50" s="572"/>
      <c r="J50" s="572"/>
      <c r="K50" s="572"/>
    </row>
    <row r="51" spans="2:11" ht="15">
      <c r="B51" s="605"/>
      <c r="C51" s="606" t="s">
        <v>373</v>
      </c>
      <c r="D51" s="25">
        <f>SUM(D43:D50)</f>
        <v>9</v>
      </c>
      <c r="E51" s="25">
        <f>SUM(E43:E50)</f>
        <v>11477111.47</v>
      </c>
      <c r="F51" s="572"/>
      <c r="G51" s="572"/>
      <c r="H51" s="572"/>
      <c r="I51" s="572"/>
      <c r="J51" s="572"/>
      <c r="K51" s="572"/>
    </row>
    <row r="52" spans="2:15" ht="15">
      <c r="B52" s="3"/>
      <c r="C52" s="4"/>
      <c r="D52" s="4"/>
      <c r="E52" s="4"/>
      <c r="F52" s="5"/>
      <c r="G52" s="6"/>
      <c r="H52" s="6"/>
      <c r="I52" s="7"/>
      <c r="J52" s="7"/>
      <c r="K52" s="7"/>
      <c r="L52" s="7"/>
      <c r="M52" s="7"/>
      <c r="N52" s="7"/>
      <c r="O52" s="30"/>
    </row>
    <row r="53" spans="2:15" ht="15">
      <c r="B53" s="572"/>
      <c r="C53" s="572"/>
      <c r="D53" s="572"/>
      <c r="E53" s="572"/>
      <c r="F53" s="572"/>
      <c r="G53" s="572"/>
      <c r="H53" s="572"/>
      <c r="I53" s="572"/>
      <c r="J53" s="572"/>
      <c r="K53" s="572"/>
      <c r="L53" s="572"/>
      <c r="M53" s="572"/>
      <c r="N53" s="572"/>
      <c r="O53" s="572"/>
    </row>
    <row r="54" spans="2:15" ht="15">
      <c r="B54" s="564" t="s">
        <v>350</v>
      </c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</row>
    <row r="55" spans="2:15" ht="15">
      <c r="B55" s="565"/>
      <c r="C55" s="572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</row>
    <row r="56" spans="2:15" ht="15">
      <c r="B56" s="886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  <c r="C56" s="568"/>
      <c r="D56" s="572"/>
      <c r="E56" s="572"/>
      <c r="F56" s="572"/>
      <c r="G56" s="572"/>
      <c r="H56" s="572"/>
      <c r="I56" s="572"/>
      <c r="J56" s="572"/>
      <c r="K56" s="572"/>
      <c r="L56" s="572"/>
      <c r="M56" s="572"/>
      <c r="N56" s="572"/>
      <c r="O56" s="572"/>
    </row>
    <row r="57" ht="15">
      <c r="C57" s="1008" t="s">
        <v>219</v>
      </c>
    </row>
  </sheetData>
  <sheetProtection password="CF72" sheet="1" objects="1" scenarios="1"/>
  <mergeCells count="19">
    <mergeCell ref="D40:E40"/>
    <mergeCell ref="B38:G38"/>
    <mergeCell ref="B40:B41"/>
    <mergeCell ref="C40:C41"/>
    <mergeCell ref="J6:O6"/>
    <mergeCell ref="G7:G8"/>
    <mergeCell ref="H7:H8"/>
    <mergeCell ref="I7:I8"/>
    <mergeCell ref="J7:J8"/>
    <mergeCell ref="K7:K8"/>
    <mergeCell ref="L7:M7"/>
    <mergeCell ref="N7:N8"/>
    <mergeCell ref="O7:O8"/>
    <mergeCell ref="B6:B9"/>
    <mergeCell ref="C6:C9"/>
    <mergeCell ref="D6:D9"/>
    <mergeCell ref="E6:E8"/>
    <mergeCell ref="F6:F8"/>
    <mergeCell ref="G6:I6"/>
  </mergeCells>
  <dataValidations count="3">
    <dataValidation type="decimal" allowBlank="1" showErrorMessage="1" errorTitle="Ошибка" error="Допускается ввод только действительных чисел!" sqref="E12:G14 J12:L14 J22:L24 E22:G24 J27:L29 E27:G29 E17:G19 J17:L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2:D14 C22:D24 C27:D29 C17:D19">
      <formula1>900</formula1>
    </dataValidation>
    <dataValidation type="decimal" allowBlank="1" showErrorMessage="1" errorTitle="Ошибка" error="Допускается ввод только неотрицательных чисел!" sqref="D49:E50 H21 H11 H26 H16">
      <formula1>0</formula1>
      <formula2>9.99999999999999E+23</formula2>
    </dataValidation>
  </dataValidations>
  <printOptions/>
  <pageMargins left="0.2362204724409449" right="0.2362204724409449" top="0.7480314960629921" bottom="1.535433070866142" header="0.31496062992125984" footer="0.31496062992125984"/>
  <pageSetup fitToHeight="0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1"/>
  <dimension ref="A2:M5003"/>
  <sheetViews>
    <sheetView zoomScalePageLayoutView="0" workbookViewId="0" topLeftCell="D10">
      <selection activeCell="G14" sqref="G14"/>
    </sheetView>
  </sheetViews>
  <sheetFormatPr defaultColWidth="9.140625" defaultRowHeight="15"/>
  <cols>
    <col min="1" max="1" width="5.140625" style="513" customWidth="1"/>
    <col min="2" max="2" width="49.8515625" style="513" customWidth="1"/>
    <col min="3" max="4" width="19.57421875" style="513" customWidth="1"/>
    <col min="5" max="5" width="14.57421875" style="513" customWidth="1"/>
    <col min="6" max="6" width="19.57421875" style="513" customWidth="1"/>
    <col min="7" max="7" width="14.57421875" style="513" customWidth="1"/>
    <col min="8" max="10" width="19.57421875" style="513" customWidth="1"/>
    <col min="11" max="11" width="14.421875" style="513" customWidth="1"/>
    <col min="12" max="12" width="19.57421875" style="513" customWidth="1"/>
    <col min="13" max="13" width="15.8515625" style="513" customWidth="1"/>
    <col min="14" max="16384" width="9.140625" style="513" customWidth="1"/>
  </cols>
  <sheetData>
    <row r="2" spans="1:13" ht="15">
      <c r="A2" s="547" t="s">
        <v>412</v>
      </c>
      <c r="B2" s="36"/>
      <c r="C2" s="36"/>
      <c r="D2" s="1284"/>
      <c r="E2" s="37"/>
      <c r="F2" s="37"/>
      <c r="G2" s="37"/>
      <c r="H2" s="37"/>
      <c r="I2" s="37"/>
      <c r="J2" s="37"/>
      <c r="K2" s="37"/>
      <c r="L2" s="38"/>
      <c r="M2" s="39"/>
    </row>
    <row r="3" spans="1:13" ht="15">
      <c r="A3" s="549" t="str">
        <f>Титульный!$B$10</f>
        <v>ООО "Дирекция Голицыно-3"</v>
      </c>
      <c r="B3" s="40"/>
      <c r="C3" s="40"/>
      <c r="D3" s="40"/>
      <c r="E3" s="38"/>
      <c r="F3" s="38"/>
      <c r="G3" s="38"/>
      <c r="H3" s="38"/>
      <c r="I3" s="38"/>
      <c r="J3" s="38"/>
      <c r="K3" s="38"/>
      <c r="L3" s="38"/>
      <c r="M3" s="39"/>
    </row>
    <row r="4" spans="1:13" ht="15">
      <c r="A4" s="551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41"/>
      <c r="C4" s="41"/>
      <c r="D4" s="40"/>
      <c r="E4" s="38"/>
      <c r="F4" s="38"/>
      <c r="G4" s="38"/>
      <c r="H4" s="38"/>
      <c r="I4" s="38"/>
      <c r="J4" s="38"/>
      <c r="K4" s="38"/>
      <c r="L4" s="38"/>
      <c r="M4" s="39"/>
    </row>
    <row r="5" spans="1:13" ht="15">
      <c r="A5" s="42"/>
      <c r="B5" s="43"/>
      <c r="C5" s="43"/>
      <c r="D5" s="43"/>
      <c r="E5" s="43"/>
      <c r="F5" s="43"/>
      <c r="G5" s="44"/>
      <c r="H5" s="1586"/>
      <c r="I5" s="1586"/>
      <c r="J5" s="1586"/>
      <c r="K5" s="1587"/>
      <c r="L5" s="38"/>
      <c r="M5" s="45" t="s">
        <v>46</v>
      </c>
    </row>
    <row r="6" spans="1:13" ht="15">
      <c r="A6" s="1588" t="s">
        <v>220</v>
      </c>
      <c r="B6" s="1589" t="s">
        <v>413</v>
      </c>
      <c r="C6" s="1590" t="s">
        <v>1297</v>
      </c>
      <c r="D6" s="1590"/>
      <c r="E6" s="1591"/>
      <c r="F6" s="1591"/>
      <c r="G6" s="1591"/>
      <c r="H6" s="1590" t="s">
        <v>1296</v>
      </c>
      <c r="I6" s="1590"/>
      <c r="J6" s="1590"/>
      <c r="K6" s="1591"/>
      <c r="L6" s="1591"/>
      <c r="M6" s="1591"/>
    </row>
    <row r="7" spans="1:13" ht="87" customHeight="1">
      <c r="A7" s="1589"/>
      <c r="B7" s="1589"/>
      <c r="C7" s="974" t="s">
        <v>1298</v>
      </c>
      <c r="D7" s="974" t="s">
        <v>1299</v>
      </c>
      <c r="E7" s="974" t="s">
        <v>414</v>
      </c>
      <c r="F7" s="974" t="s">
        <v>415</v>
      </c>
      <c r="G7" s="974" t="s">
        <v>416</v>
      </c>
      <c r="H7" s="974" t="s">
        <v>1298</v>
      </c>
      <c r="I7" s="974" t="s">
        <v>1300</v>
      </c>
      <c r="J7" s="974" t="s">
        <v>1301</v>
      </c>
      <c r="K7" s="974" t="s">
        <v>414</v>
      </c>
      <c r="L7" s="974" t="s">
        <v>415</v>
      </c>
      <c r="M7" s="974" t="s">
        <v>416</v>
      </c>
    </row>
    <row r="8" spans="1:13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</row>
    <row r="9" spans="1:13" ht="34.5" customHeight="1">
      <c r="A9" s="18">
        <v>1</v>
      </c>
      <c r="B9" s="975" t="s">
        <v>417</v>
      </c>
      <c r="C9" s="19">
        <f>SUM(C10:C16)</f>
        <v>625.718</v>
      </c>
      <c r="D9" s="1285"/>
      <c r="E9" s="976">
        <f aca="true" t="shared" si="0" ref="E9:E15">IF(C9=0,0,G9*100/C9)</f>
        <v>3.84119683307816</v>
      </c>
      <c r="F9" s="19">
        <f>SUM(F10:F16)</f>
        <v>358.971</v>
      </c>
      <c r="G9" s="19">
        <f>SUM(G10:G16)</f>
        <v>24.035059999999998</v>
      </c>
      <c r="H9" s="19">
        <f>SUM(H10:H16)</f>
        <v>625.718</v>
      </c>
      <c r="I9" s="19">
        <f>SUM(I10:I16)</f>
        <v>0</v>
      </c>
      <c r="J9" s="19">
        <f>SUM(J10:J16)</f>
        <v>0</v>
      </c>
      <c r="K9" s="976">
        <f aca="true" t="shared" si="1" ref="K9:K15">IF(H9=0,0,M9*100/H9)</f>
        <v>2.4613963478755605</v>
      </c>
      <c r="L9" s="19">
        <f>SUM(L10:L16)</f>
        <v>328.16819999999996</v>
      </c>
      <c r="M9" s="19">
        <f>SUM(M10:M16)</f>
        <v>15.401399999999999</v>
      </c>
    </row>
    <row r="10" spans="1:13" ht="17.25" customHeight="1">
      <c r="A10" s="849" t="str">
        <f aca="true" t="shared" si="2" ref="A10:A15">A$9&amp;"."&amp;ROW(A1)</f>
        <v>1.1</v>
      </c>
      <c r="B10" s="1298" t="s">
        <v>1341</v>
      </c>
      <c r="C10" s="577">
        <v>10.935</v>
      </c>
      <c r="D10" s="1286">
        <v>36768</v>
      </c>
      <c r="E10" s="976">
        <f t="shared" si="0"/>
        <v>3.9999999999999996</v>
      </c>
      <c r="F10" s="577">
        <v>4.739</v>
      </c>
      <c r="G10" s="577">
        <f>437.4/1000</f>
        <v>0.43739999999999996</v>
      </c>
      <c r="H10" s="577">
        <f>C10</f>
        <v>10.935</v>
      </c>
      <c r="I10" s="577"/>
      <c r="J10" s="577"/>
      <c r="K10" s="976">
        <f t="shared" si="1"/>
        <v>3.9999999999999996</v>
      </c>
      <c r="L10" s="577">
        <f>F10-G10-G10</f>
        <v>3.8642</v>
      </c>
      <c r="M10" s="577">
        <f>G10</f>
        <v>0.43739999999999996</v>
      </c>
    </row>
    <row r="11" spans="1:13" ht="17.25" customHeight="1">
      <c r="A11" s="849" t="str">
        <f t="shared" si="2"/>
        <v>1.2</v>
      </c>
      <c r="B11" s="1298" t="s">
        <v>1342</v>
      </c>
      <c r="C11" s="577">
        <v>10.935</v>
      </c>
      <c r="D11" s="1286">
        <v>36768</v>
      </c>
      <c r="E11" s="976">
        <f t="shared" si="0"/>
        <v>3.9999999999999996</v>
      </c>
      <c r="F11" s="577">
        <v>4.739</v>
      </c>
      <c r="G11" s="577">
        <f>437.4/1000</f>
        <v>0.43739999999999996</v>
      </c>
      <c r="H11" s="577">
        <f>C11</f>
        <v>10.935</v>
      </c>
      <c r="I11" s="577"/>
      <c r="J11" s="577"/>
      <c r="K11" s="976">
        <f t="shared" si="1"/>
        <v>3.9999999999999996</v>
      </c>
      <c r="L11" s="577">
        <f>F11-G11-G11</f>
        <v>3.8642</v>
      </c>
      <c r="M11" s="577">
        <f>G11</f>
        <v>0.43739999999999996</v>
      </c>
    </row>
    <row r="12" spans="1:13" ht="17.25" customHeight="1">
      <c r="A12" s="849" t="str">
        <f t="shared" si="2"/>
        <v>1.3</v>
      </c>
      <c r="B12" s="1298" t="s">
        <v>1340</v>
      </c>
      <c r="C12" s="577">
        <f>44354/1000</f>
        <v>44.354</v>
      </c>
      <c r="D12" s="1286">
        <v>36768</v>
      </c>
      <c r="E12" s="976">
        <f t="shared" si="0"/>
        <v>4.00009018352347</v>
      </c>
      <c r="F12" s="577">
        <v>20.55</v>
      </c>
      <c r="G12" s="577">
        <f>1774.2/1000</f>
        <v>1.7742</v>
      </c>
      <c r="H12" s="577">
        <f>C12</f>
        <v>44.354</v>
      </c>
      <c r="I12" s="577"/>
      <c r="J12" s="577"/>
      <c r="K12" s="976">
        <f t="shared" si="1"/>
        <v>4.00009018352347</v>
      </c>
      <c r="L12" s="577">
        <f>F12-G12-G12</f>
        <v>17.0016</v>
      </c>
      <c r="M12" s="577">
        <f>G12</f>
        <v>1.7742</v>
      </c>
    </row>
    <row r="13" spans="1:13" ht="17.25" customHeight="1">
      <c r="A13" s="849" t="str">
        <f t="shared" si="2"/>
        <v>1.4</v>
      </c>
      <c r="B13" s="1298" t="s">
        <v>1343</v>
      </c>
      <c r="C13" s="577">
        <f>507694/1000</f>
        <v>507.694</v>
      </c>
      <c r="D13" s="1286">
        <v>36768</v>
      </c>
      <c r="E13" s="976">
        <f t="shared" si="0"/>
        <v>2.511827990876394</v>
      </c>
      <c r="F13" s="577">
        <v>328.943</v>
      </c>
      <c r="G13" s="577">
        <f>12692.4/1000+0.06</f>
        <v>12.7524</v>
      </c>
      <c r="H13" s="577">
        <f>C13</f>
        <v>507.694</v>
      </c>
      <c r="I13" s="577"/>
      <c r="J13" s="577"/>
      <c r="K13" s="976">
        <f t="shared" si="1"/>
        <v>2.511827990876394</v>
      </c>
      <c r="L13" s="577">
        <f>F13-G13-G13</f>
        <v>303.43819999999994</v>
      </c>
      <c r="M13" s="577">
        <f>G13</f>
        <v>12.7524</v>
      </c>
    </row>
    <row r="14" spans="1:13" ht="17.25" customHeight="1">
      <c r="A14" s="849" t="str">
        <f t="shared" si="2"/>
        <v>1.5</v>
      </c>
      <c r="B14" s="1298" t="s">
        <v>1344</v>
      </c>
      <c r="C14" s="577">
        <v>51.8</v>
      </c>
      <c r="D14" s="1286">
        <v>42307</v>
      </c>
      <c r="E14" s="976">
        <f t="shared" si="0"/>
        <v>16.667297297297296</v>
      </c>
      <c r="F14" s="577"/>
      <c r="G14" s="577">
        <f>8633.66/1000</f>
        <v>8.633659999999999</v>
      </c>
      <c r="H14" s="577">
        <f>C14</f>
        <v>51.8</v>
      </c>
      <c r="I14" s="577"/>
      <c r="J14" s="577"/>
      <c r="K14" s="976">
        <f t="shared" si="1"/>
        <v>0</v>
      </c>
      <c r="L14" s="577"/>
      <c r="M14" s="577"/>
    </row>
    <row r="15" spans="1:13" ht="17.25" customHeight="1">
      <c r="A15" s="849" t="str">
        <f t="shared" si="2"/>
        <v>1.6</v>
      </c>
      <c r="B15" s="1080"/>
      <c r="C15" s="577"/>
      <c r="D15" s="1286"/>
      <c r="E15" s="976">
        <f t="shared" si="0"/>
        <v>0</v>
      </c>
      <c r="F15" s="577"/>
      <c r="G15" s="577"/>
      <c r="H15" s="577"/>
      <c r="I15" s="577"/>
      <c r="J15" s="577"/>
      <c r="K15" s="976">
        <f t="shared" si="1"/>
        <v>0</v>
      </c>
      <c r="L15" s="577"/>
      <c r="M15" s="577"/>
    </row>
    <row r="16" spans="1:13" ht="15">
      <c r="A16" s="847"/>
      <c r="B16" s="16" t="s">
        <v>802</v>
      </c>
      <c r="C16" s="15"/>
      <c r="D16" s="1287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27" customHeight="1">
      <c r="A17" s="977" t="s">
        <v>285</v>
      </c>
      <c r="B17" s="975" t="s">
        <v>418</v>
      </c>
      <c r="C17" s="19">
        <f>SUM(C18:C21)</f>
        <v>0</v>
      </c>
      <c r="D17" s="1285"/>
      <c r="E17" s="976">
        <f>IF(C17=0,0,G17*100/C17)</f>
        <v>0</v>
      </c>
      <c r="F17" s="19">
        <f>SUM(F18:F21)</f>
        <v>0</v>
      </c>
      <c r="G17" s="19">
        <f>SUM(G18:G21)</f>
        <v>0</v>
      </c>
      <c r="H17" s="19">
        <f>SUM(H18:H21)</f>
        <v>0</v>
      </c>
      <c r="I17" s="19"/>
      <c r="J17" s="19"/>
      <c r="K17" s="976">
        <f>IF(H17=0,0,M17*100/H17)</f>
        <v>0</v>
      </c>
      <c r="L17" s="19">
        <f>SUM(L18:L21)</f>
        <v>0</v>
      </c>
      <c r="M17" s="19">
        <f>SUM(M18:M21)</f>
        <v>0</v>
      </c>
    </row>
    <row r="18" spans="1:13" ht="15">
      <c r="A18" s="849" t="str">
        <f>A$17&amp;"."&amp;ROW(A1)</f>
        <v>2.1</v>
      </c>
      <c r="B18" s="226"/>
      <c r="C18" s="577"/>
      <c r="D18" s="1286"/>
      <c r="E18" s="976">
        <f>IF(C18=0,0,G18*100/C18)</f>
        <v>0</v>
      </c>
      <c r="F18" s="577"/>
      <c r="G18" s="577"/>
      <c r="H18" s="577"/>
      <c r="I18" s="577"/>
      <c r="J18" s="577"/>
      <c r="K18" s="976">
        <f>IF(H18=0,0,M18*100/H18)</f>
        <v>0</v>
      </c>
      <c r="L18" s="577"/>
      <c r="M18" s="577"/>
    </row>
    <row r="19" spans="1:13" ht="15">
      <c r="A19" s="849" t="str">
        <f>A$17&amp;"."&amp;ROW(A2)</f>
        <v>2.2</v>
      </c>
      <c r="B19" s="226"/>
      <c r="C19" s="577"/>
      <c r="D19" s="1286"/>
      <c r="E19" s="976">
        <f>IF(C19=0,0,G19*100/C19)</f>
        <v>0</v>
      </c>
      <c r="F19" s="577"/>
      <c r="G19" s="577"/>
      <c r="H19" s="577"/>
      <c r="I19" s="577"/>
      <c r="J19" s="577"/>
      <c r="K19" s="976">
        <f>IF(H19=0,0,M19*100/H19)</f>
        <v>0</v>
      </c>
      <c r="L19" s="577"/>
      <c r="M19" s="577"/>
    </row>
    <row r="20" spans="1:13" ht="15">
      <c r="A20" s="849" t="str">
        <f>A$17&amp;"."&amp;ROW(A3)</f>
        <v>2.3</v>
      </c>
      <c r="B20" s="226"/>
      <c r="C20" s="577"/>
      <c r="D20" s="1286"/>
      <c r="E20" s="976">
        <f>IF(C20=0,0,G20*100/C20)</f>
        <v>0</v>
      </c>
      <c r="F20" s="577"/>
      <c r="G20" s="577"/>
      <c r="H20" s="577"/>
      <c r="I20" s="577"/>
      <c r="J20" s="577"/>
      <c r="K20" s="976">
        <f>IF(H20=0,0,M20*100/H20)</f>
        <v>0</v>
      </c>
      <c r="L20" s="577"/>
      <c r="M20" s="577"/>
    </row>
    <row r="21" spans="1:13" ht="15">
      <c r="A21" s="847"/>
      <c r="B21" s="16" t="s">
        <v>802</v>
      </c>
      <c r="C21" s="15"/>
      <c r="D21" s="1287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33.75" customHeight="1">
      <c r="A22" s="977" t="s">
        <v>152</v>
      </c>
      <c r="B22" s="975" t="s">
        <v>419</v>
      </c>
      <c r="C22" s="19">
        <f>SUM(C23:C26)</f>
        <v>0</v>
      </c>
      <c r="D22" s="1285"/>
      <c r="E22" s="976">
        <f>IF(C22=0,0,G22*100/C22)</f>
        <v>0</v>
      </c>
      <c r="F22" s="19">
        <f>SUM(F23:F26)</f>
        <v>0</v>
      </c>
      <c r="G22" s="19">
        <f>SUM(G23:G26)</f>
        <v>0</v>
      </c>
      <c r="H22" s="19">
        <f>SUM(H23:H26)</f>
        <v>0</v>
      </c>
      <c r="I22" s="19"/>
      <c r="J22" s="19"/>
      <c r="K22" s="976">
        <f>IF(H22=0,0,M22*100/H22)</f>
        <v>0</v>
      </c>
      <c r="L22" s="19">
        <f>SUM(L23:L26)</f>
        <v>0</v>
      </c>
      <c r="M22" s="19">
        <f>SUM(M23:M26)</f>
        <v>0</v>
      </c>
    </row>
    <row r="23" spans="1:13" ht="15">
      <c r="A23" s="849" t="str">
        <f>A$22&amp;"."&amp;ROW(A1)</f>
        <v>3.1</v>
      </c>
      <c r="B23" s="226"/>
      <c r="C23" s="577"/>
      <c r="D23" s="1286"/>
      <c r="E23" s="976">
        <f>IF(C23=0,0,G23*100/C23)</f>
        <v>0</v>
      </c>
      <c r="F23" s="577"/>
      <c r="G23" s="577"/>
      <c r="H23" s="577"/>
      <c r="I23" s="577"/>
      <c r="J23" s="577"/>
      <c r="K23" s="976">
        <f>IF(H23=0,0,M23*100/H23)</f>
        <v>0</v>
      </c>
      <c r="L23" s="577"/>
      <c r="M23" s="577"/>
    </row>
    <row r="24" spans="1:13" ht="15">
      <c r="A24" s="849" t="str">
        <f>A$22&amp;"."&amp;ROW(A2)</f>
        <v>3.2</v>
      </c>
      <c r="B24" s="226"/>
      <c r="C24" s="577"/>
      <c r="D24" s="1286"/>
      <c r="E24" s="976">
        <f>IF(C24=0,0,G24*100/C24)</f>
        <v>0</v>
      </c>
      <c r="F24" s="577"/>
      <c r="G24" s="577"/>
      <c r="H24" s="577"/>
      <c r="I24" s="577"/>
      <c r="J24" s="577"/>
      <c r="K24" s="976">
        <f>IF(H24=0,0,M24*100/H24)</f>
        <v>0</v>
      </c>
      <c r="L24" s="577"/>
      <c r="M24" s="577"/>
    </row>
    <row r="25" spans="1:13" ht="15">
      <c r="A25" s="849" t="str">
        <f>A$22&amp;"."&amp;ROW(A3)</f>
        <v>3.3</v>
      </c>
      <c r="B25" s="226"/>
      <c r="C25" s="577"/>
      <c r="D25" s="1286"/>
      <c r="E25" s="976">
        <f>IF(C25=0,0,G25*100/C25)</f>
        <v>0</v>
      </c>
      <c r="F25" s="577"/>
      <c r="G25" s="577"/>
      <c r="H25" s="577"/>
      <c r="I25" s="577"/>
      <c r="J25" s="577"/>
      <c r="K25" s="976">
        <f>IF(H25=0,0,M25*100/H25)</f>
        <v>0</v>
      </c>
      <c r="L25" s="577"/>
      <c r="M25" s="577"/>
    </row>
    <row r="26" spans="1:13" ht="15">
      <c r="A26" s="847"/>
      <c r="B26" s="16" t="s">
        <v>802</v>
      </c>
      <c r="C26" s="15"/>
      <c r="D26" s="1287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5">
      <c r="A27" s="18"/>
      <c r="B27" s="14" t="s">
        <v>339</v>
      </c>
      <c r="C27" s="19">
        <f>C9+C17+C22</f>
        <v>625.718</v>
      </c>
      <c r="D27" s="1285"/>
      <c r="E27" s="976">
        <f>IF(C27=0,0,G27*100/C27)</f>
        <v>3.84119683307816</v>
      </c>
      <c r="F27" s="19">
        <f>F9+F17+F22</f>
        <v>358.971</v>
      </c>
      <c r="G27" s="19">
        <f>G9+G17+G22</f>
        <v>24.035059999999998</v>
      </c>
      <c r="H27" s="19">
        <f>H9+H17+H22</f>
        <v>625.718</v>
      </c>
      <c r="I27" s="19"/>
      <c r="J27" s="19"/>
      <c r="K27" s="976">
        <f>IF(H27=0,0,M27*100/H27)</f>
        <v>2.4613963478755605</v>
      </c>
      <c r="L27" s="19">
        <f>L9+L17+L22</f>
        <v>328.16819999999996</v>
      </c>
      <c r="M27" s="19">
        <f>M9+M17+M22</f>
        <v>15.401399999999999</v>
      </c>
    </row>
    <row r="28" spans="1:13" ht="15">
      <c r="A28" s="3"/>
      <c r="B28" s="4"/>
      <c r="C28" s="4"/>
      <c r="D28" s="1288"/>
      <c r="E28" s="4"/>
      <c r="F28" s="5"/>
      <c r="G28" s="6"/>
      <c r="H28" s="6"/>
      <c r="I28" s="6"/>
      <c r="J28" s="6"/>
      <c r="K28" s="7"/>
      <c r="L28" s="7"/>
      <c r="M28" s="7"/>
    </row>
    <row r="29" spans="1:13" ht="15">
      <c r="A29" s="39"/>
      <c r="B29" s="39"/>
      <c r="C29" s="39"/>
      <c r="D29" s="128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5">
      <c r="A30" s="564" t="s">
        <v>350</v>
      </c>
      <c r="B30" s="39"/>
      <c r="C30" s="39"/>
      <c r="D30" s="128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5">
      <c r="A31" s="565"/>
      <c r="B31" s="39"/>
      <c r="C31" s="39"/>
      <c r="D31" s="128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5">
      <c r="A32" s="886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  <c r="B32" s="568"/>
      <c r="C32" s="39"/>
      <c r="D32" s="128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5">
      <c r="B33" s="1008" t="s">
        <v>219</v>
      </c>
      <c r="C33" s="39"/>
      <c r="D33" s="1289"/>
      <c r="E33" s="39"/>
      <c r="F33" s="39"/>
      <c r="G33" s="39"/>
      <c r="H33" s="39"/>
      <c r="I33" s="39"/>
      <c r="J33" s="39"/>
      <c r="K33" s="39"/>
      <c r="L33" s="39"/>
      <c r="M33" s="39"/>
    </row>
    <row r="34" ht="15">
      <c r="D34" s="1290"/>
    </row>
    <row r="35" ht="15">
      <c r="D35" s="1290"/>
    </row>
    <row r="36" ht="15">
      <c r="D36" s="1290"/>
    </row>
    <row r="37" ht="15">
      <c r="D37" s="1290"/>
    </row>
    <row r="38" ht="15">
      <c r="D38" s="1290"/>
    </row>
    <row r="39" ht="15">
      <c r="D39" s="1290"/>
    </row>
    <row r="40" ht="15">
      <c r="D40" s="1290"/>
    </row>
    <row r="41" ht="15">
      <c r="D41" s="1290"/>
    </row>
    <row r="42" ht="15">
      <c r="D42" s="1290"/>
    </row>
    <row r="43" ht="15">
      <c r="D43" s="1290"/>
    </row>
    <row r="44" ht="15">
      <c r="D44" s="1290"/>
    </row>
    <row r="45" ht="15">
      <c r="D45" s="1290"/>
    </row>
    <row r="46" ht="15">
      <c r="D46" s="1290"/>
    </row>
    <row r="47" ht="15">
      <c r="D47" s="1290"/>
    </row>
    <row r="48" ht="15">
      <c r="D48" s="1290"/>
    </row>
    <row r="49" ht="15">
      <c r="D49" s="1290"/>
    </row>
    <row r="50" ht="15">
      <c r="D50" s="1290"/>
    </row>
    <row r="51" ht="15">
      <c r="D51" s="1290"/>
    </row>
    <row r="52" ht="15">
      <c r="D52" s="1290"/>
    </row>
    <row r="53" ht="15">
      <c r="D53" s="1290"/>
    </row>
    <row r="54" ht="15">
      <c r="D54" s="1290"/>
    </row>
    <row r="55" ht="15">
      <c r="D55" s="1290"/>
    </row>
    <row r="56" ht="15">
      <c r="D56" s="1290"/>
    </row>
    <row r="57" ht="15">
      <c r="D57" s="1290"/>
    </row>
    <row r="58" ht="15">
      <c r="D58" s="1290"/>
    </row>
    <row r="59" ht="15">
      <c r="D59" s="1290"/>
    </row>
    <row r="60" ht="15">
      <c r="D60" s="1290"/>
    </row>
    <row r="61" ht="15">
      <c r="D61" s="1290"/>
    </row>
    <row r="62" ht="15">
      <c r="D62" s="1290"/>
    </row>
    <row r="63" ht="15">
      <c r="D63" s="1290"/>
    </row>
    <row r="64" ht="15">
      <c r="D64" s="1290"/>
    </row>
    <row r="65" ht="15">
      <c r="D65" s="1290"/>
    </row>
    <row r="66" ht="15">
      <c r="D66" s="1290"/>
    </row>
    <row r="67" ht="15">
      <c r="D67" s="1290"/>
    </row>
    <row r="68" ht="15">
      <c r="D68" s="1290"/>
    </row>
    <row r="69" ht="15">
      <c r="D69" s="1290"/>
    </row>
    <row r="70" ht="15">
      <c r="D70" s="1290"/>
    </row>
    <row r="71" ht="15">
      <c r="D71" s="1290"/>
    </row>
    <row r="72" ht="15">
      <c r="D72" s="1290"/>
    </row>
    <row r="73" ht="15">
      <c r="D73" s="1290"/>
    </row>
    <row r="74" ht="15">
      <c r="D74" s="1290"/>
    </row>
    <row r="75" ht="15">
      <c r="D75" s="1290"/>
    </row>
    <row r="76" ht="15">
      <c r="D76" s="1290"/>
    </row>
    <row r="77" ht="15">
      <c r="D77" s="1290"/>
    </row>
    <row r="78" ht="15">
      <c r="D78" s="1290"/>
    </row>
    <row r="79" ht="15">
      <c r="D79" s="1290"/>
    </row>
    <row r="80" ht="15">
      <c r="D80" s="1290"/>
    </row>
    <row r="81" ht="15">
      <c r="D81" s="1290"/>
    </row>
    <row r="82" ht="15">
      <c r="D82" s="1290"/>
    </row>
    <row r="83" ht="15">
      <c r="D83" s="1290"/>
    </row>
    <row r="84" ht="15">
      <c r="D84" s="1290"/>
    </row>
    <row r="85" ht="15">
      <c r="D85" s="1290"/>
    </row>
    <row r="86" ht="15">
      <c r="D86" s="1290"/>
    </row>
    <row r="87" ht="15">
      <c r="D87" s="1290"/>
    </row>
    <row r="88" ht="15">
      <c r="D88" s="1290"/>
    </row>
    <row r="89" ht="15">
      <c r="D89" s="1290"/>
    </row>
    <row r="90" ht="15">
      <c r="D90" s="1290"/>
    </row>
    <row r="91" ht="15">
      <c r="D91" s="1290"/>
    </row>
    <row r="92" ht="15">
      <c r="D92" s="1290"/>
    </row>
    <row r="93" ht="15">
      <c r="D93" s="1290"/>
    </row>
    <row r="94" ht="15">
      <c r="D94" s="1290"/>
    </row>
    <row r="95" ht="15">
      <c r="D95" s="1290"/>
    </row>
    <row r="96" ht="15">
      <c r="D96" s="1290"/>
    </row>
    <row r="97" ht="15">
      <c r="D97" s="1290"/>
    </row>
    <row r="98" ht="15">
      <c r="D98" s="1290"/>
    </row>
    <row r="99" ht="15">
      <c r="D99" s="1290"/>
    </row>
    <row r="100" ht="15">
      <c r="D100" s="1290"/>
    </row>
    <row r="101" ht="15">
      <c r="D101" s="1290"/>
    </row>
    <row r="102" ht="15">
      <c r="D102" s="1290"/>
    </row>
    <row r="103" ht="15">
      <c r="D103" s="1290"/>
    </row>
    <row r="104" ht="15">
      <c r="D104" s="1290"/>
    </row>
    <row r="105" ht="15">
      <c r="D105" s="1290"/>
    </row>
    <row r="106" ht="15">
      <c r="D106" s="1290"/>
    </row>
    <row r="107" ht="15">
      <c r="D107" s="1290"/>
    </row>
    <row r="108" ht="15">
      <c r="D108" s="1290"/>
    </row>
    <row r="109" ht="15">
      <c r="D109" s="1290"/>
    </row>
    <row r="110" ht="15">
      <c r="D110" s="1290"/>
    </row>
    <row r="111" ht="15">
      <c r="D111" s="1290"/>
    </row>
    <row r="112" ht="15">
      <c r="D112" s="1290"/>
    </row>
    <row r="113" ht="15">
      <c r="D113" s="1290"/>
    </row>
    <row r="114" ht="15">
      <c r="D114" s="1290"/>
    </row>
    <row r="115" ht="15">
      <c r="D115" s="1290"/>
    </row>
    <row r="116" ht="15">
      <c r="D116" s="1290"/>
    </row>
    <row r="117" ht="15">
      <c r="D117" s="1290"/>
    </row>
    <row r="118" ht="15">
      <c r="D118" s="1290"/>
    </row>
    <row r="119" ht="15">
      <c r="D119" s="1290"/>
    </row>
    <row r="120" ht="15">
      <c r="D120" s="1290"/>
    </row>
    <row r="121" ht="15">
      <c r="D121" s="1290"/>
    </row>
    <row r="122" ht="15">
      <c r="D122" s="1290"/>
    </row>
    <row r="123" ht="15">
      <c r="D123" s="1290"/>
    </row>
    <row r="124" ht="15">
      <c r="D124" s="1290"/>
    </row>
    <row r="125" ht="15">
      <c r="D125" s="1290"/>
    </row>
    <row r="126" ht="15">
      <c r="D126" s="1290"/>
    </row>
    <row r="127" ht="15">
      <c r="D127" s="1290"/>
    </row>
    <row r="128" ht="15">
      <c r="D128" s="1290"/>
    </row>
    <row r="129" ht="15">
      <c r="D129" s="1290"/>
    </row>
    <row r="130" ht="15">
      <c r="D130" s="1290"/>
    </row>
    <row r="131" ht="15">
      <c r="D131" s="1290"/>
    </row>
    <row r="132" ht="15">
      <c r="D132" s="1290"/>
    </row>
    <row r="133" ht="15">
      <c r="D133" s="1290"/>
    </row>
    <row r="134" ht="15">
      <c r="D134" s="1290"/>
    </row>
    <row r="135" ht="15">
      <c r="D135" s="1290"/>
    </row>
    <row r="136" ht="15">
      <c r="D136" s="1290"/>
    </row>
    <row r="137" ht="15">
      <c r="D137" s="1290"/>
    </row>
    <row r="138" ht="15">
      <c r="D138" s="1290"/>
    </row>
    <row r="139" ht="15">
      <c r="D139" s="1290"/>
    </row>
    <row r="140" ht="15">
      <c r="D140" s="1290"/>
    </row>
    <row r="141" ht="15">
      <c r="D141" s="1290"/>
    </row>
    <row r="142" ht="15">
      <c r="D142" s="1290"/>
    </row>
    <row r="143" ht="15">
      <c r="D143" s="1290"/>
    </row>
    <row r="144" ht="15">
      <c r="D144" s="1290"/>
    </row>
    <row r="145" ht="15">
      <c r="D145" s="1290"/>
    </row>
    <row r="146" ht="15">
      <c r="D146" s="1290"/>
    </row>
    <row r="147" ht="15">
      <c r="D147" s="1290"/>
    </row>
    <row r="148" ht="15">
      <c r="D148" s="1290"/>
    </row>
    <row r="149" ht="15">
      <c r="D149" s="1290"/>
    </row>
    <row r="150" ht="15">
      <c r="D150" s="1290"/>
    </row>
    <row r="151" ht="15">
      <c r="D151" s="1290"/>
    </row>
    <row r="152" ht="15">
      <c r="D152" s="1290"/>
    </row>
    <row r="153" ht="15">
      <c r="D153" s="1290"/>
    </row>
    <row r="154" ht="15">
      <c r="D154" s="1290"/>
    </row>
    <row r="155" ht="15">
      <c r="D155" s="1290"/>
    </row>
    <row r="156" ht="15">
      <c r="D156" s="1290"/>
    </row>
    <row r="157" ht="15">
      <c r="D157" s="1290"/>
    </row>
    <row r="158" ht="15">
      <c r="D158" s="1290"/>
    </row>
    <row r="159" ht="15">
      <c r="D159" s="1290"/>
    </row>
    <row r="160" ht="15">
      <c r="D160" s="1290"/>
    </row>
    <row r="161" ht="15">
      <c r="D161" s="1290"/>
    </row>
    <row r="162" ht="15">
      <c r="D162" s="1290"/>
    </row>
    <row r="163" ht="15">
      <c r="D163" s="1290"/>
    </row>
    <row r="164" ht="15">
      <c r="D164" s="1290"/>
    </row>
    <row r="165" ht="15">
      <c r="D165" s="1290"/>
    </row>
    <row r="166" ht="15">
      <c r="D166" s="1290"/>
    </row>
    <row r="167" ht="15">
      <c r="D167" s="1290"/>
    </row>
    <row r="168" ht="15">
      <c r="D168" s="1290"/>
    </row>
    <row r="169" ht="15">
      <c r="D169" s="1290"/>
    </row>
    <row r="170" ht="15">
      <c r="D170" s="1290"/>
    </row>
    <row r="171" ht="15">
      <c r="D171" s="1290"/>
    </row>
    <row r="172" ht="15">
      <c r="D172" s="1290"/>
    </row>
    <row r="173" ht="15">
      <c r="D173" s="1290"/>
    </row>
    <row r="174" ht="15">
      <c r="D174" s="1290"/>
    </row>
    <row r="175" ht="15">
      <c r="D175" s="1290"/>
    </row>
    <row r="176" ht="15">
      <c r="D176" s="1290"/>
    </row>
    <row r="177" ht="15">
      <c r="D177" s="1290"/>
    </row>
    <row r="178" ht="15">
      <c r="D178" s="1290"/>
    </row>
    <row r="179" ht="15">
      <c r="D179" s="1290"/>
    </row>
    <row r="180" ht="15">
      <c r="D180" s="1290"/>
    </row>
    <row r="181" ht="15">
      <c r="D181" s="1290"/>
    </row>
    <row r="182" ht="15">
      <c r="D182" s="1290"/>
    </row>
    <row r="183" ht="15">
      <c r="D183" s="1290"/>
    </row>
    <row r="184" ht="15">
      <c r="D184" s="1290"/>
    </row>
    <row r="185" ht="15">
      <c r="D185" s="1290"/>
    </row>
    <row r="186" ht="15">
      <c r="D186" s="1290"/>
    </row>
    <row r="187" ht="15">
      <c r="D187" s="1290"/>
    </row>
    <row r="188" ht="15">
      <c r="D188" s="1290"/>
    </row>
    <row r="189" ht="15">
      <c r="D189" s="1290"/>
    </row>
    <row r="190" ht="15">
      <c r="D190" s="1290"/>
    </row>
    <row r="191" ht="15">
      <c r="D191" s="1290"/>
    </row>
    <row r="192" ht="15">
      <c r="D192" s="1290"/>
    </row>
    <row r="193" ht="15">
      <c r="D193" s="1290"/>
    </row>
    <row r="194" ht="15">
      <c r="D194" s="1290"/>
    </row>
    <row r="195" ht="15">
      <c r="D195" s="1290"/>
    </row>
    <row r="196" ht="15">
      <c r="D196" s="1290"/>
    </row>
    <row r="197" ht="15">
      <c r="D197" s="1290"/>
    </row>
    <row r="198" ht="15">
      <c r="D198" s="1290"/>
    </row>
    <row r="199" ht="15">
      <c r="D199" s="1290"/>
    </row>
    <row r="200" ht="15">
      <c r="D200" s="1290"/>
    </row>
    <row r="201" ht="15">
      <c r="D201" s="1290"/>
    </row>
    <row r="202" ht="15">
      <c r="D202" s="1290"/>
    </row>
    <row r="203" ht="15">
      <c r="D203" s="1290"/>
    </row>
    <row r="204" ht="15">
      <c r="D204" s="1290"/>
    </row>
    <row r="205" ht="15">
      <c r="D205" s="1290"/>
    </row>
    <row r="206" ht="15">
      <c r="D206" s="1290"/>
    </row>
    <row r="207" ht="15">
      <c r="D207" s="1290"/>
    </row>
    <row r="208" ht="15">
      <c r="D208" s="1290"/>
    </row>
    <row r="209" ht="15">
      <c r="D209" s="1290"/>
    </row>
    <row r="210" ht="15">
      <c r="D210" s="1290"/>
    </row>
    <row r="211" ht="15">
      <c r="D211" s="1290"/>
    </row>
    <row r="212" ht="15">
      <c r="D212" s="1290"/>
    </row>
    <row r="213" ht="15">
      <c r="D213" s="1290"/>
    </row>
    <row r="214" ht="15">
      <c r="D214" s="1290"/>
    </row>
    <row r="215" ht="15">
      <c r="D215" s="1290"/>
    </row>
    <row r="216" ht="15">
      <c r="D216" s="1290"/>
    </row>
    <row r="217" ht="15">
      <c r="D217" s="1290"/>
    </row>
    <row r="218" ht="15">
      <c r="D218" s="1290"/>
    </row>
    <row r="219" ht="15">
      <c r="D219" s="1290"/>
    </row>
    <row r="220" ht="15">
      <c r="D220" s="1290"/>
    </row>
    <row r="221" ht="15">
      <c r="D221" s="1290"/>
    </row>
    <row r="222" ht="15">
      <c r="D222" s="1290"/>
    </row>
    <row r="223" ht="15">
      <c r="D223" s="1290"/>
    </row>
    <row r="224" ht="15">
      <c r="D224" s="1290"/>
    </row>
    <row r="225" ht="15">
      <c r="D225" s="1290"/>
    </row>
    <row r="226" ht="15">
      <c r="D226" s="1290"/>
    </row>
    <row r="227" ht="15">
      <c r="D227" s="1290"/>
    </row>
    <row r="228" ht="15">
      <c r="D228" s="1290"/>
    </row>
    <row r="229" ht="15">
      <c r="D229" s="1290"/>
    </row>
    <row r="230" ht="15">
      <c r="D230" s="1290"/>
    </row>
    <row r="231" ht="15">
      <c r="D231" s="1290"/>
    </row>
    <row r="232" ht="15">
      <c r="D232" s="1290"/>
    </row>
    <row r="233" ht="15">
      <c r="D233" s="1290"/>
    </row>
    <row r="234" ht="15">
      <c r="D234" s="1290"/>
    </row>
    <row r="235" ht="15">
      <c r="D235" s="1290"/>
    </row>
    <row r="236" ht="15">
      <c r="D236" s="1290"/>
    </row>
    <row r="237" ht="15">
      <c r="D237" s="1290"/>
    </row>
    <row r="238" ht="15">
      <c r="D238" s="1290"/>
    </row>
    <row r="239" ht="15">
      <c r="D239" s="1290"/>
    </row>
    <row r="240" ht="15">
      <c r="D240" s="1290"/>
    </row>
    <row r="241" ht="15">
      <c r="D241" s="1290"/>
    </row>
    <row r="242" ht="15">
      <c r="D242" s="1290"/>
    </row>
    <row r="243" ht="15">
      <c r="D243" s="1290"/>
    </row>
    <row r="244" ht="15">
      <c r="D244" s="1290"/>
    </row>
    <row r="245" ht="15">
      <c r="D245" s="1290"/>
    </row>
    <row r="246" ht="15">
      <c r="D246" s="1290"/>
    </row>
    <row r="247" ht="15">
      <c r="D247" s="1290"/>
    </row>
    <row r="248" ht="15">
      <c r="D248" s="1290"/>
    </row>
    <row r="249" ht="15">
      <c r="D249" s="1290"/>
    </row>
    <row r="250" ht="15">
      <c r="D250" s="1290"/>
    </row>
    <row r="251" ht="15">
      <c r="D251" s="1290"/>
    </row>
    <row r="252" ht="15">
      <c r="D252" s="1290"/>
    </row>
    <row r="253" ht="15">
      <c r="D253" s="1290"/>
    </row>
    <row r="254" ht="15">
      <c r="D254" s="1290"/>
    </row>
    <row r="255" ht="15">
      <c r="D255" s="1290"/>
    </row>
    <row r="256" ht="15">
      <c r="D256" s="1290"/>
    </row>
    <row r="257" ht="15">
      <c r="D257" s="1290"/>
    </row>
    <row r="258" ht="15">
      <c r="D258" s="1290"/>
    </row>
    <row r="259" ht="15">
      <c r="D259" s="1290"/>
    </row>
    <row r="260" ht="15">
      <c r="D260" s="1290"/>
    </row>
    <row r="261" ht="15">
      <c r="D261" s="1290"/>
    </row>
    <row r="262" ht="15">
      <c r="D262" s="1290"/>
    </row>
    <row r="263" ht="15">
      <c r="D263" s="1290"/>
    </row>
    <row r="264" ht="15">
      <c r="D264" s="1290"/>
    </row>
    <row r="265" ht="15">
      <c r="D265" s="1290"/>
    </row>
    <row r="266" ht="15">
      <c r="D266" s="1290"/>
    </row>
    <row r="267" ht="15">
      <c r="D267" s="1290"/>
    </row>
    <row r="268" ht="15">
      <c r="D268" s="1290"/>
    </row>
    <row r="269" ht="15">
      <c r="D269" s="1290"/>
    </row>
    <row r="270" ht="15">
      <c r="D270" s="1290"/>
    </row>
    <row r="271" ht="15">
      <c r="D271" s="1290"/>
    </row>
    <row r="272" ht="15">
      <c r="D272" s="1290"/>
    </row>
    <row r="273" ht="15">
      <c r="D273" s="1290"/>
    </row>
    <row r="274" ht="15">
      <c r="D274" s="1290"/>
    </row>
    <row r="275" ht="15">
      <c r="D275" s="1290"/>
    </row>
    <row r="276" ht="15">
      <c r="D276" s="1290"/>
    </row>
    <row r="277" ht="15">
      <c r="D277" s="1290"/>
    </row>
    <row r="278" ht="15">
      <c r="D278" s="1290"/>
    </row>
    <row r="279" ht="15">
      <c r="D279" s="1290"/>
    </row>
    <row r="280" ht="15">
      <c r="D280" s="1290"/>
    </row>
    <row r="281" ht="15">
      <c r="D281" s="1290"/>
    </row>
    <row r="282" ht="15">
      <c r="D282" s="1290"/>
    </row>
    <row r="283" ht="15">
      <c r="D283" s="1290"/>
    </row>
    <row r="284" ht="15">
      <c r="D284" s="1290"/>
    </row>
    <row r="285" ht="15">
      <c r="D285" s="1290"/>
    </row>
    <row r="286" ht="15">
      <c r="D286" s="1290"/>
    </row>
    <row r="287" ht="15">
      <c r="D287" s="1290"/>
    </row>
    <row r="288" ht="15">
      <c r="D288" s="1290"/>
    </row>
    <row r="289" ht="15">
      <c r="D289" s="1290"/>
    </row>
    <row r="290" ht="15">
      <c r="D290" s="1290"/>
    </row>
    <row r="291" ht="15">
      <c r="D291" s="1290"/>
    </row>
    <row r="292" ht="15">
      <c r="D292" s="1290"/>
    </row>
    <row r="293" ht="15">
      <c r="D293" s="1290"/>
    </row>
    <row r="294" ht="15">
      <c r="D294" s="1290"/>
    </row>
    <row r="295" ht="15">
      <c r="D295" s="1290"/>
    </row>
    <row r="296" ht="15">
      <c r="D296" s="1290"/>
    </row>
    <row r="297" ht="15">
      <c r="D297" s="1290"/>
    </row>
    <row r="298" ht="15">
      <c r="D298" s="1290"/>
    </row>
    <row r="299" ht="15">
      <c r="D299" s="1290"/>
    </row>
    <row r="300" ht="15">
      <c r="D300" s="1290"/>
    </row>
    <row r="301" ht="15">
      <c r="D301" s="1290"/>
    </row>
    <row r="302" ht="15">
      <c r="D302" s="1290"/>
    </row>
    <row r="303" ht="15">
      <c r="D303" s="1290"/>
    </row>
    <row r="304" ht="15">
      <c r="D304" s="1290"/>
    </row>
    <row r="305" ht="15">
      <c r="D305" s="1290"/>
    </row>
    <row r="306" ht="15">
      <c r="D306" s="1290"/>
    </row>
    <row r="307" ht="15">
      <c r="D307" s="1290"/>
    </row>
    <row r="308" ht="15">
      <c r="D308" s="1290"/>
    </row>
    <row r="309" ht="15">
      <c r="D309" s="1290"/>
    </row>
    <row r="310" ht="15">
      <c r="D310" s="1290"/>
    </row>
    <row r="311" ht="15">
      <c r="D311" s="1290"/>
    </row>
    <row r="312" ht="15">
      <c r="D312" s="1290"/>
    </row>
    <row r="313" ht="15">
      <c r="D313" s="1290"/>
    </row>
    <row r="314" ht="15">
      <c r="D314" s="1290"/>
    </row>
    <row r="315" ht="15">
      <c r="D315" s="1290"/>
    </row>
    <row r="316" ht="15">
      <c r="D316" s="1290"/>
    </row>
    <row r="317" ht="15">
      <c r="D317" s="1290"/>
    </row>
    <row r="318" ht="15">
      <c r="D318" s="1290"/>
    </row>
    <row r="319" ht="15">
      <c r="D319" s="1290"/>
    </row>
    <row r="320" ht="15">
      <c r="D320" s="1290"/>
    </row>
    <row r="321" ht="15">
      <c r="D321" s="1290"/>
    </row>
    <row r="322" ht="15">
      <c r="D322" s="1290"/>
    </row>
    <row r="323" ht="15">
      <c r="D323" s="1290"/>
    </row>
    <row r="324" ht="15">
      <c r="D324" s="1290"/>
    </row>
    <row r="325" ht="15">
      <c r="D325" s="1290"/>
    </row>
    <row r="326" ht="15">
      <c r="D326" s="1290"/>
    </row>
    <row r="327" ht="15">
      <c r="D327" s="1290"/>
    </row>
    <row r="328" ht="15">
      <c r="D328" s="1290"/>
    </row>
    <row r="329" ht="15">
      <c r="D329" s="1290"/>
    </row>
    <row r="330" ht="15">
      <c r="D330" s="1290"/>
    </row>
    <row r="331" ht="15">
      <c r="D331" s="1290"/>
    </row>
    <row r="332" ht="15">
      <c r="D332" s="1290"/>
    </row>
    <row r="333" ht="15">
      <c r="D333" s="1290"/>
    </row>
    <row r="334" ht="15">
      <c r="D334" s="1290"/>
    </row>
    <row r="335" ht="15">
      <c r="D335" s="1290"/>
    </row>
    <row r="336" ht="15">
      <c r="D336" s="1290"/>
    </row>
    <row r="337" ht="15">
      <c r="D337" s="1290"/>
    </row>
    <row r="338" ht="15">
      <c r="D338" s="1290"/>
    </row>
    <row r="339" ht="15">
      <c r="D339" s="1290"/>
    </row>
    <row r="340" ht="15">
      <c r="D340" s="1290"/>
    </row>
    <row r="341" ht="15">
      <c r="D341" s="1290"/>
    </row>
    <row r="342" ht="15">
      <c r="D342" s="1290"/>
    </row>
    <row r="343" ht="15">
      <c r="D343" s="1290"/>
    </row>
    <row r="344" ht="15">
      <c r="D344" s="1290"/>
    </row>
    <row r="345" ht="15">
      <c r="D345" s="1290"/>
    </row>
    <row r="346" ht="15">
      <c r="D346" s="1290"/>
    </row>
    <row r="347" ht="15">
      <c r="D347" s="1290"/>
    </row>
    <row r="348" ht="15">
      <c r="D348" s="1290"/>
    </row>
    <row r="349" ht="15">
      <c r="D349" s="1290"/>
    </row>
    <row r="350" ht="15">
      <c r="D350" s="1290"/>
    </row>
    <row r="351" ht="15">
      <c r="D351" s="1290"/>
    </row>
    <row r="352" ht="15">
      <c r="D352" s="1290"/>
    </row>
    <row r="353" ht="15">
      <c r="D353" s="1290"/>
    </row>
    <row r="354" ht="15">
      <c r="D354" s="1290"/>
    </row>
    <row r="355" ht="15">
      <c r="D355" s="1290"/>
    </row>
    <row r="356" ht="15">
      <c r="D356" s="1290"/>
    </row>
    <row r="357" ht="15">
      <c r="D357" s="1290"/>
    </row>
    <row r="358" ht="15">
      <c r="D358" s="1290"/>
    </row>
    <row r="359" ht="15">
      <c r="D359" s="1290"/>
    </row>
    <row r="360" ht="15">
      <c r="D360" s="1290"/>
    </row>
    <row r="361" ht="15">
      <c r="D361" s="1290"/>
    </row>
    <row r="362" ht="15">
      <c r="D362" s="1290"/>
    </row>
    <row r="363" ht="15">
      <c r="D363" s="1290"/>
    </row>
    <row r="364" ht="15">
      <c r="D364" s="1290"/>
    </row>
    <row r="365" ht="15">
      <c r="D365" s="1290"/>
    </row>
    <row r="366" ht="15">
      <c r="D366" s="1290"/>
    </row>
    <row r="367" ht="15">
      <c r="D367" s="1290"/>
    </row>
    <row r="368" ht="15">
      <c r="D368" s="1290"/>
    </row>
    <row r="369" ht="15">
      <c r="D369" s="1290"/>
    </row>
    <row r="370" ht="15">
      <c r="D370" s="1290"/>
    </row>
    <row r="371" ht="15">
      <c r="D371" s="1290"/>
    </row>
    <row r="372" ht="15">
      <c r="D372" s="1290"/>
    </row>
    <row r="373" ht="15">
      <c r="D373" s="1290"/>
    </row>
    <row r="374" ht="15">
      <c r="D374" s="1290"/>
    </row>
    <row r="375" ht="15">
      <c r="D375" s="1290"/>
    </row>
    <row r="376" ht="15">
      <c r="D376" s="1290"/>
    </row>
    <row r="377" ht="15">
      <c r="D377" s="1290"/>
    </row>
    <row r="378" ht="15">
      <c r="D378" s="1290"/>
    </row>
    <row r="379" ht="15">
      <c r="D379" s="1290"/>
    </row>
    <row r="380" ht="15">
      <c r="D380" s="1290"/>
    </row>
    <row r="381" ht="15">
      <c r="D381" s="1290"/>
    </row>
    <row r="382" ht="15">
      <c r="D382" s="1290"/>
    </row>
    <row r="383" ht="15">
      <c r="D383" s="1290"/>
    </row>
    <row r="384" ht="15">
      <c r="D384" s="1290"/>
    </row>
    <row r="385" ht="15">
      <c r="D385" s="1290"/>
    </row>
    <row r="386" ht="15">
      <c r="D386" s="1290"/>
    </row>
    <row r="387" ht="15">
      <c r="D387" s="1290"/>
    </row>
    <row r="388" ht="15">
      <c r="D388" s="1290"/>
    </row>
    <row r="389" ht="15">
      <c r="D389" s="1290"/>
    </row>
    <row r="390" ht="15">
      <c r="D390" s="1290"/>
    </row>
    <row r="391" ht="15">
      <c r="D391" s="1290"/>
    </row>
    <row r="392" ht="15">
      <c r="D392" s="1290"/>
    </row>
    <row r="393" ht="15">
      <c r="D393" s="1290"/>
    </row>
    <row r="394" ht="15">
      <c r="D394" s="1290"/>
    </row>
    <row r="395" ht="15">
      <c r="D395" s="1290"/>
    </row>
    <row r="396" ht="15">
      <c r="D396" s="1290"/>
    </row>
    <row r="397" ht="15">
      <c r="D397" s="1290"/>
    </row>
    <row r="398" ht="15">
      <c r="D398" s="1290"/>
    </row>
    <row r="399" ht="15">
      <c r="D399" s="1290"/>
    </row>
    <row r="400" ht="15">
      <c r="D400" s="1290"/>
    </row>
    <row r="401" ht="15">
      <c r="D401" s="1290"/>
    </row>
    <row r="402" ht="15">
      <c r="D402" s="1290"/>
    </row>
    <row r="403" ht="15">
      <c r="D403" s="1290"/>
    </row>
    <row r="404" ht="15">
      <c r="D404" s="1290"/>
    </row>
    <row r="405" ht="15">
      <c r="D405" s="1290"/>
    </row>
    <row r="406" ht="15">
      <c r="D406" s="1290"/>
    </row>
    <row r="407" ht="15">
      <c r="D407" s="1290"/>
    </row>
    <row r="408" ht="15">
      <c r="D408" s="1290"/>
    </row>
    <row r="409" ht="15">
      <c r="D409" s="1290"/>
    </row>
    <row r="410" ht="15">
      <c r="D410" s="1290"/>
    </row>
    <row r="411" ht="15">
      <c r="D411" s="1290"/>
    </row>
    <row r="412" ht="15">
      <c r="D412" s="1290"/>
    </row>
    <row r="413" ht="15">
      <c r="D413" s="1290"/>
    </row>
    <row r="414" ht="15">
      <c r="D414" s="1290"/>
    </row>
    <row r="415" ht="15">
      <c r="D415" s="1290"/>
    </row>
    <row r="416" ht="15">
      <c r="D416" s="1290"/>
    </row>
    <row r="417" ht="15">
      <c r="D417" s="1290"/>
    </row>
    <row r="418" ht="15">
      <c r="D418" s="1290"/>
    </row>
    <row r="419" ht="15">
      <c r="D419" s="1290"/>
    </row>
    <row r="420" ht="15">
      <c r="D420" s="1290"/>
    </row>
    <row r="421" ht="15">
      <c r="D421" s="1290"/>
    </row>
    <row r="422" ht="15">
      <c r="D422" s="1290"/>
    </row>
    <row r="423" ht="15">
      <c r="D423" s="1290"/>
    </row>
    <row r="424" ht="15">
      <c r="D424" s="1290"/>
    </row>
    <row r="425" ht="15">
      <c r="D425" s="1290"/>
    </row>
    <row r="426" ht="15">
      <c r="D426" s="1290"/>
    </row>
    <row r="427" ht="15">
      <c r="D427" s="1290"/>
    </row>
    <row r="428" ht="15">
      <c r="D428" s="1290"/>
    </row>
    <row r="429" ht="15">
      <c r="D429" s="1290"/>
    </row>
    <row r="430" ht="15">
      <c r="D430" s="1290"/>
    </row>
    <row r="431" ht="15">
      <c r="D431" s="1290"/>
    </row>
    <row r="432" ht="15">
      <c r="D432" s="1290"/>
    </row>
    <row r="433" ht="15">
      <c r="D433" s="1290"/>
    </row>
    <row r="434" ht="15">
      <c r="D434" s="1290"/>
    </row>
    <row r="435" ht="15">
      <c r="D435" s="1290"/>
    </row>
    <row r="436" ht="15">
      <c r="D436" s="1290"/>
    </row>
    <row r="437" ht="15">
      <c r="D437" s="1290"/>
    </row>
    <row r="438" ht="15">
      <c r="D438" s="1290"/>
    </row>
    <row r="439" ht="15">
      <c r="D439" s="1290"/>
    </row>
    <row r="440" ht="15">
      <c r="D440" s="1290"/>
    </row>
    <row r="441" ht="15">
      <c r="D441" s="1290"/>
    </row>
    <row r="442" ht="15">
      <c r="D442" s="1290"/>
    </row>
    <row r="443" ht="15">
      <c r="D443" s="1290"/>
    </row>
    <row r="444" ht="15">
      <c r="D444" s="1290"/>
    </row>
    <row r="445" ht="15">
      <c r="D445" s="1290"/>
    </row>
    <row r="446" ht="15">
      <c r="D446" s="1290"/>
    </row>
    <row r="447" ht="15">
      <c r="D447" s="1290"/>
    </row>
    <row r="448" ht="15">
      <c r="D448" s="1290"/>
    </row>
    <row r="449" ht="15">
      <c r="D449" s="1290"/>
    </row>
    <row r="450" ht="15">
      <c r="D450" s="1290"/>
    </row>
    <row r="451" ht="15">
      <c r="D451" s="1290"/>
    </row>
    <row r="452" ht="15">
      <c r="D452" s="1290"/>
    </row>
    <row r="453" ht="15">
      <c r="D453" s="1290"/>
    </row>
    <row r="454" ht="15">
      <c r="D454" s="1290"/>
    </row>
    <row r="455" ht="15">
      <c r="D455" s="1290"/>
    </row>
    <row r="456" ht="15">
      <c r="D456" s="1290"/>
    </row>
    <row r="457" ht="15">
      <c r="D457" s="1290"/>
    </row>
    <row r="458" ht="15">
      <c r="D458" s="1290"/>
    </row>
    <row r="459" ht="15">
      <c r="D459" s="1290"/>
    </row>
    <row r="460" ht="15">
      <c r="D460" s="1290"/>
    </row>
    <row r="461" ht="15">
      <c r="D461" s="1290"/>
    </row>
    <row r="462" ht="15">
      <c r="D462" s="1290"/>
    </row>
    <row r="463" ht="15">
      <c r="D463" s="1290"/>
    </row>
    <row r="464" ht="15">
      <c r="D464" s="1290"/>
    </row>
    <row r="465" ht="15">
      <c r="D465" s="1290"/>
    </row>
    <row r="466" ht="15">
      <c r="D466" s="1290"/>
    </row>
    <row r="467" ht="15">
      <c r="D467" s="1290"/>
    </row>
    <row r="468" ht="15">
      <c r="D468" s="1290"/>
    </row>
    <row r="469" ht="15">
      <c r="D469" s="1290"/>
    </row>
    <row r="470" ht="15">
      <c r="D470" s="1290"/>
    </row>
    <row r="471" ht="15">
      <c r="D471" s="1290"/>
    </row>
    <row r="472" ht="15">
      <c r="D472" s="1290"/>
    </row>
    <row r="473" ht="15">
      <c r="D473" s="1290"/>
    </row>
    <row r="474" ht="15">
      <c r="D474" s="1290"/>
    </row>
    <row r="475" ht="15">
      <c r="D475" s="1290"/>
    </row>
    <row r="476" ht="15">
      <c r="D476" s="1290"/>
    </row>
    <row r="477" ht="15">
      <c r="D477" s="1290"/>
    </row>
    <row r="478" ht="15">
      <c r="D478" s="1290"/>
    </row>
    <row r="479" ht="15">
      <c r="D479" s="1290"/>
    </row>
    <row r="480" ht="15">
      <c r="D480" s="1290"/>
    </row>
    <row r="481" ht="15">
      <c r="D481" s="1290"/>
    </row>
    <row r="482" ht="15">
      <c r="D482" s="1290"/>
    </row>
    <row r="483" ht="15">
      <c r="D483" s="1290"/>
    </row>
    <row r="484" ht="15">
      <c r="D484" s="1290"/>
    </row>
    <row r="485" ht="15">
      <c r="D485" s="1290"/>
    </row>
    <row r="486" ht="15">
      <c r="D486" s="1290"/>
    </row>
    <row r="487" ht="15">
      <c r="D487" s="1290"/>
    </row>
    <row r="488" ht="15">
      <c r="D488" s="1290"/>
    </row>
    <row r="489" ht="15">
      <c r="D489" s="1290"/>
    </row>
    <row r="490" ht="15">
      <c r="D490" s="1290"/>
    </row>
    <row r="491" ht="15">
      <c r="D491" s="1290"/>
    </row>
    <row r="492" ht="15">
      <c r="D492" s="1290"/>
    </row>
    <row r="493" ht="15">
      <c r="D493" s="1290"/>
    </row>
    <row r="494" ht="15">
      <c r="D494" s="1290"/>
    </row>
    <row r="495" ht="15">
      <c r="D495" s="1290"/>
    </row>
    <row r="496" ht="15">
      <c r="D496" s="1290"/>
    </row>
    <row r="497" ht="15">
      <c r="D497" s="1290"/>
    </row>
    <row r="498" ht="15">
      <c r="D498" s="1290"/>
    </row>
    <row r="499" ht="15">
      <c r="D499" s="1290"/>
    </row>
    <row r="500" ht="15">
      <c r="D500" s="1290"/>
    </row>
    <row r="501" ht="15">
      <c r="D501" s="1290"/>
    </row>
    <row r="502" ht="15">
      <c r="D502" s="1290"/>
    </row>
    <row r="503" ht="15">
      <c r="D503" s="1290"/>
    </row>
    <row r="504" ht="15">
      <c r="D504" s="1290"/>
    </row>
    <row r="505" ht="15">
      <c r="D505" s="1290"/>
    </row>
    <row r="506" ht="15">
      <c r="D506" s="1290"/>
    </row>
    <row r="507" ht="15">
      <c r="D507" s="1290"/>
    </row>
    <row r="508" ht="15">
      <c r="D508" s="1290"/>
    </row>
    <row r="509" ht="15">
      <c r="D509" s="1290"/>
    </row>
    <row r="510" ht="15">
      <c r="D510" s="1290"/>
    </row>
    <row r="511" ht="15">
      <c r="D511" s="1290"/>
    </row>
    <row r="512" ht="15">
      <c r="D512" s="1290"/>
    </row>
    <row r="513" ht="15">
      <c r="D513" s="1290"/>
    </row>
    <row r="514" ht="15">
      <c r="D514" s="1290"/>
    </row>
    <row r="515" ht="15">
      <c r="D515" s="1290"/>
    </row>
    <row r="516" ht="15">
      <c r="D516" s="1290"/>
    </row>
    <row r="517" ht="15">
      <c r="D517" s="1290"/>
    </row>
    <row r="518" ht="15">
      <c r="D518" s="1290"/>
    </row>
    <row r="519" ht="15">
      <c r="D519" s="1290"/>
    </row>
    <row r="520" ht="15">
      <c r="D520" s="1290"/>
    </row>
    <row r="521" ht="15">
      <c r="D521" s="1290"/>
    </row>
    <row r="522" ht="15">
      <c r="D522" s="1290"/>
    </row>
    <row r="523" ht="15">
      <c r="D523" s="1290"/>
    </row>
    <row r="524" ht="15">
      <c r="D524" s="1290"/>
    </row>
    <row r="525" ht="15">
      <c r="D525" s="1290"/>
    </row>
    <row r="526" ht="15">
      <c r="D526" s="1290"/>
    </row>
    <row r="527" ht="15">
      <c r="D527" s="1290"/>
    </row>
    <row r="528" ht="15">
      <c r="D528" s="1290"/>
    </row>
    <row r="529" ht="15">
      <c r="D529" s="1290"/>
    </row>
    <row r="530" ht="15">
      <c r="D530" s="1290"/>
    </row>
    <row r="531" ht="15">
      <c r="D531" s="1290"/>
    </row>
    <row r="532" ht="15">
      <c r="D532" s="1290"/>
    </row>
    <row r="533" ht="15">
      <c r="D533" s="1290"/>
    </row>
    <row r="534" ht="15">
      <c r="D534" s="1290"/>
    </row>
    <row r="535" ht="15">
      <c r="D535" s="1290"/>
    </row>
    <row r="536" ht="15">
      <c r="D536" s="1290"/>
    </row>
    <row r="537" ht="15">
      <c r="D537" s="1290"/>
    </row>
    <row r="538" ht="15">
      <c r="D538" s="1290"/>
    </row>
    <row r="539" ht="15">
      <c r="D539" s="1290"/>
    </row>
    <row r="540" ht="15">
      <c r="D540" s="1290"/>
    </row>
    <row r="541" ht="15">
      <c r="D541" s="1290"/>
    </row>
    <row r="542" ht="15">
      <c r="D542" s="1290"/>
    </row>
    <row r="543" ht="15">
      <c r="D543" s="1290"/>
    </row>
    <row r="544" ht="15">
      <c r="D544" s="1290"/>
    </row>
    <row r="545" ht="15">
      <c r="D545" s="1290"/>
    </row>
    <row r="546" ht="15">
      <c r="D546" s="1290"/>
    </row>
    <row r="547" ht="15">
      <c r="D547" s="1290"/>
    </row>
    <row r="548" ht="15">
      <c r="D548" s="1290"/>
    </row>
    <row r="549" ht="15">
      <c r="D549" s="1290"/>
    </row>
    <row r="550" ht="15">
      <c r="D550" s="1290"/>
    </row>
    <row r="551" ht="15">
      <c r="D551" s="1290"/>
    </row>
    <row r="552" ht="15">
      <c r="D552" s="1290"/>
    </row>
    <row r="553" ht="15">
      <c r="D553" s="1290"/>
    </row>
    <row r="554" ht="15">
      <c r="D554" s="1290"/>
    </row>
    <row r="555" ht="15">
      <c r="D555" s="1290"/>
    </row>
    <row r="556" ht="15">
      <c r="D556" s="1290"/>
    </row>
    <row r="557" ht="15">
      <c r="D557" s="1290"/>
    </row>
    <row r="558" ht="15">
      <c r="D558" s="1290"/>
    </row>
    <row r="559" ht="15">
      <c r="D559" s="1290"/>
    </row>
    <row r="560" ht="15">
      <c r="D560" s="1290"/>
    </row>
    <row r="561" ht="15">
      <c r="D561" s="1290"/>
    </row>
    <row r="562" ht="15">
      <c r="D562" s="1290"/>
    </row>
    <row r="563" ht="15">
      <c r="D563" s="1290"/>
    </row>
    <row r="564" ht="15">
      <c r="D564" s="1290"/>
    </row>
    <row r="565" ht="15">
      <c r="D565" s="1290"/>
    </row>
    <row r="566" ht="15">
      <c r="D566" s="1290"/>
    </row>
    <row r="567" ht="15">
      <c r="D567" s="1290"/>
    </row>
    <row r="568" ht="15">
      <c r="D568" s="1290"/>
    </row>
    <row r="569" ht="15">
      <c r="D569" s="1290"/>
    </row>
    <row r="570" ht="15">
      <c r="D570" s="1290"/>
    </row>
    <row r="571" ht="15">
      <c r="D571" s="1290"/>
    </row>
    <row r="572" ht="15">
      <c r="D572" s="1290"/>
    </row>
    <row r="573" ht="15">
      <c r="D573" s="1290"/>
    </row>
    <row r="574" ht="15">
      <c r="D574" s="1290"/>
    </row>
    <row r="575" ht="15">
      <c r="D575" s="1290"/>
    </row>
    <row r="576" ht="15">
      <c r="D576" s="1290"/>
    </row>
    <row r="577" ht="15">
      <c r="D577" s="1290"/>
    </row>
    <row r="578" ht="15">
      <c r="D578" s="1290"/>
    </row>
    <row r="579" ht="15">
      <c r="D579" s="1290"/>
    </row>
    <row r="580" ht="15">
      <c r="D580" s="1290"/>
    </row>
    <row r="581" ht="15">
      <c r="D581" s="1290"/>
    </row>
    <row r="582" ht="15">
      <c r="D582" s="1290"/>
    </row>
    <row r="583" ht="15">
      <c r="D583" s="1290"/>
    </row>
    <row r="584" ht="15">
      <c r="D584" s="1290"/>
    </row>
    <row r="585" ht="15">
      <c r="D585" s="1290"/>
    </row>
    <row r="586" ht="15">
      <c r="D586" s="1290"/>
    </row>
    <row r="587" ht="15">
      <c r="D587" s="1290"/>
    </row>
    <row r="588" ht="15">
      <c r="D588" s="1290"/>
    </row>
    <row r="589" ht="15">
      <c r="D589" s="1290"/>
    </row>
    <row r="590" ht="15">
      <c r="D590" s="1290"/>
    </row>
    <row r="591" ht="15">
      <c r="D591" s="1290"/>
    </row>
    <row r="592" ht="15">
      <c r="D592" s="1290"/>
    </row>
    <row r="593" ht="15">
      <c r="D593" s="1290"/>
    </row>
    <row r="594" ht="15">
      <c r="D594" s="1290"/>
    </row>
    <row r="595" ht="15">
      <c r="D595" s="1290"/>
    </row>
    <row r="596" ht="15">
      <c r="D596" s="1290"/>
    </row>
    <row r="597" ht="15">
      <c r="D597" s="1290"/>
    </row>
    <row r="598" ht="15">
      <c r="D598" s="1290"/>
    </row>
    <row r="599" ht="15">
      <c r="D599" s="1290"/>
    </row>
    <row r="600" ht="15">
      <c r="D600" s="1290"/>
    </row>
    <row r="601" ht="15">
      <c r="D601" s="1290"/>
    </row>
    <row r="602" ht="15">
      <c r="D602" s="1290"/>
    </row>
    <row r="603" ht="15">
      <c r="D603" s="1290"/>
    </row>
    <row r="604" ht="15">
      <c r="D604" s="1290"/>
    </row>
    <row r="605" ht="15">
      <c r="D605" s="1290"/>
    </row>
    <row r="606" ht="15">
      <c r="D606" s="1290"/>
    </row>
    <row r="607" ht="15">
      <c r="D607" s="1290"/>
    </row>
    <row r="608" ht="15">
      <c r="D608" s="1290"/>
    </row>
    <row r="609" ht="15">
      <c r="D609" s="1290"/>
    </row>
    <row r="610" ht="15">
      <c r="D610" s="1290"/>
    </row>
    <row r="611" ht="15">
      <c r="D611" s="1290"/>
    </row>
    <row r="612" ht="15">
      <c r="D612" s="1290"/>
    </row>
    <row r="613" ht="15">
      <c r="D613" s="1290"/>
    </row>
    <row r="614" ht="15">
      <c r="D614" s="1290"/>
    </row>
    <row r="615" ht="15">
      <c r="D615" s="1290"/>
    </row>
    <row r="616" ht="15">
      <c r="D616" s="1290"/>
    </row>
    <row r="617" ht="15">
      <c r="D617" s="1290"/>
    </row>
    <row r="618" ht="15">
      <c r="D618" s="1290"/>
    </row>
    <row r="619" ht="15">
      <c r="D619" s="1290"/>
    </row>
    <row r="620" ht="15">
      <c r="D620" s="1290"/>
    </row>
    <row r="621" ht="15">
      <c r="D621" s="1290"/>
    </row>
    <row r="622" ht="15">
      <c r="D622" s="1290"/>
    </row>
    <row r="623" ht="15">
      <c r="D623" s="1290"/>
    </row>
    <row r="624" ht="15">
      <c r="D624" s="1290"/>
    </row>
    <row r="625" ht="15">
      <c r="D625" s="1290"/>
    </row>
    <row r="626" ht="15">
      <c r="D626" s="1290"/>
    </row>
    <row r="627" ht="15">
      <c r="D627" s="1290"/>
    </row>
    <row r="628" ht="15">
      <c r="D628" s="1290"/>
    </row>
    <row r="629" ht="15">
      <c r="D629" s="1290"/>
    </row>
    <row r="630" ht="15">
      <c r="D630" s="1290"/>
    </row>
    <row r="631" ht="15">
      <c r="D631" s="1290"/>
    </row>
    <row r="632" ht="15">
      <c r="D632" s="1290"/>
    </row>
    <row r="633" ht="15">
      <c r="D633" s="1290"/>
    </row>
    <row r="634" ht="15">
      <c r="D634" s="1290"/>
    </row>
    <row r="635" ht="15">
      <c r="D635" s="1290"/>
    </row>
    <row r="636" ht="15">
      <c r="D636" s="1290"/>
    </row>
    <row r="637" ht="15">
      <c r="D637" s="1290"/>
    </row>
    <row r="638" ht="15">
      <c r="D638" s="1290"/>
    </row>
    <row r="639" ht="15">
      <c r="D639" s="1290"/>
    </row>
    <row r="640" ht="15">
      <c r="D640" s="1290"/>
    </row>
    <row r="641" ht="15">
      <c r="D641" s="1290"/>
    </row>
    <row r="642" ht="15">
      <c r="D642" s="1290"/>
    </row>
    <row r="643" ht="15">
      <c r="D643" s="1290"/>
    </row>
    <row r="644" ht="15">
      <c r="D644" s="1290"/>
    </row>
    <row r="645" ht="15">
      <c r="D645" s="1290"/>
    </row>
    <row r="646" ht="15">
      <c r="D646" s="1290"/>
    </row>
    <row r="647" ht="15">
      <c r="D647" s="1290"/>
    </row>
    <row r="648" ht="15">
      <c r="D648" s="1290"/>
    </row>
    <row r="649" ht="15">
      <c r="D649" s="1290"/>
    </row>
    <row r="650" ht="15">
      <c r="D650" s="1290"/>
    </row>
    <row r="651" ht="15">
      <c r="D651" s="1290"/>
    </row>
    <row r="652" ht="15">
      <c r="D652" s="1290"/>
    </row>
    <row r="653" ht="15">
      <c r="D653" s="1290"/>
    </row>
    <row r="654" ht="15">
      <c r="D654" s="1290"/>
    </row>
    <row r="655" ht="15">
      <c r="D655" s="1290"/>
    </row>
    <row r="656" ht="15">
      <c r="D656" s="1290"/>
    </row>
    <row r="657" ht="15">
      <c r="D657" s="1290"/>
    </row>
    <row r="658" ht="15">
      <c r="D658" s="1290"/>
    </row>
    <row r="659" ht="15">
      <c r="D659" s="1290"/>
    </row>
    <row r="660" ht="15">
      <c r="D660" s="1290"/>
    </row>
    <row r="661" ht="15">
      <c r="D661" s="1290"/>
    </row>
    <row r="662" ht="15">
      <c r="D662" s="1290"/>
    </row>
    <row r="663" ht="15">
      <c r="D663" s="1290"/>
    </row>
    <row r="664" ht="15">
      <c r="D664" s="1290"/>
    </row>
    <row r="665" ht="15">
      <c r="D665" s="1290"/>
    </row>
    <row r="666" ht="15">
      <c r="D666" s="1290"/>
    </row>
    <row r="667" ht="15">
      <c r="D667" s="1290"/>
    </row>
    <row r="668" ht="15">
      <c r="D668" s="1290"/>
    </row>
    <row r="669" ht="15">
      <c r="D669" s="1290"/>
    </row>
    <row r="670" ht="15">
      <c r="D670" s="1290"/>
    </row>
    <row r="671" ht="15">
      <c r="D671" s="1290"/>
    </row>
    <row r="672" ht="15">
      <c r="D672" s="1290"/>
    </row>
    <row r="673" ht="15">
      <c r="D673" s="1290"/>
    </row>
    <row r="674" ht="15">
      <c r="D674" s="1290"/>
    </row>
    <row r="675" ht="15">
      <c r="D675" s="1290"/>
    </row>
    <row r="676" ht="15">
      <c r="D676" s="1290"/>
    </row>
    <row r="677" ht="15">
      <c r="D677" s="1290"/>
    </row>
    <row r="678" ht="15">
      <c r="D678" s="1290"/>
    </row>
    <row r="679" ht="15">
      <c r="D679" s="1290"/>
    </row>
    <row r="680" ht="15">
      <c r="D680" s="1290"/>
    </row>
    <row r="681" ht="15">
      <c r="D681" s="1290"/>
    </row>
    <row r="682" ht="15">
      <c r="D682" s="1290"/>
    </row>
    <row r="683" ht="15">
      <c r="D683" s="1290"/>
    </row>
    <row r="684" ht="15">
      <c r="D684" s="1290"/>
    </row>
    <row r="685" ht="15">
      <c r="D685" s="1290"/>
    </row>
    <row r="686" ht="15">
      <c r="D686" s="1290"/>
    </row>
    <row r="687" ht="15">
      <c r="D687" s="1290"/>
    </row>
    <row r="688" ht="15">
      <c r="D688" s="1290"/>
    </row>
    <row r="689" ht="15">
      <c r="D689" s="1290"/>
    </row>
    <row r="690" ht="15">
      <c r="D690" s="1290"/>
    </row>
    <row r="691" ht="15">
      <c r="D691" s="1290"/>
    </row>
    <row r="692" ht="15">
      <c r="D692" s="1290"/>
    </row>
    <row r="693" ht="15">
      <c r="D693" s="1290"/>
    </row>
    <row r="694" ht="15">
      <c r="D694" s="1290"/>
    </row>
    <row r="695" ht="15">
      <c r="D695" s="1290"/>
    </row>
    <row r="696" ht="15">
      <c r="D696" s="1290"/>
    </row>
    <row r="697" ht="15">
      <c r="D697" s="1290"/>
    </row>
    <row r="698" ht="15">
      <c r="D698" s="1290"/>
    </row>
    <row r="699" ht="15">
      <c r="D699" s="1290"/>
    </row>
    <row r="700" ht="15">
      <c r="D700" s="1290"/>
    </row>
    <row r="701" ht="15">
      <c r="D701" s="1290"/>
    </row>
    <row r="702" ht="15">
      <c r="D702" s="1290"/>
    </row>
    <row r="703" ht="15">
      <c r="D703" s="1290"/>
    </row>
    <row r="704" ht="15">
      <c r="D704" s="1290"/>
    </row>
    <row r="705" ht="15">
      <c r="D705" s="1290"/>
    </row>
    <row r="706" ht="15">
      <c r="D706" s="1290"/>
    </row>
    <row r="707" ht="15">
      <c r="D707" s="1290"/>
    </row>
    <row r="708" ht="15">
      <c r="D708" s="1290"/>
    </row>
    <row r="709" ht="15">
      <c r="D709" s="1290"/>
    </row>
    <row r="710" ht="15">
      <c r="D710" s="1290"/>
    </row>
    <row r="711" ht="15">
      <c r="D711" s="1290"/>
    </row>
    <row r="712" ht="15">
      <c r="D712" s="1290"/>
    </row>
    <row r="713" ht="15">
      <c r="D713" s="1290"/>
    </row>
    <row r="714" ht="15">
      <c r="D714" s="1290"/>
    </row>
    <row r="715" ht="15">
      <c r="D715" s="1290"/>
    </row>
    <row r="716" ht="15">
      <c r="D716" s="1290"/>
    </row>
    <row r="717" ht="15">
      <c r="D717" s="1290"/>
    </row>
    <row r="718" ht="15">
      <c r="D718" s="1290"/>
    </row>
    <row r="719" ht="15">
      <c r="D719" s="1290"/>
    </row>
    <row r="720" ht="15">
      <c r="D720" s="1290"/>
    </row>
    <row r="721" ht="15">
      <c r="D721" s="1290"/>
    </row>
    <row r="722" ht="15">
      <c r="D722" s="1290"/>
    </row>
    <row r="723" ht="15">
      <c r="D723" s="1290"/>
    </row>
    <row r="724" ht="15">
      <c r="D724" s="1290"/>
    </row>
    <row r="725" ht="15">
      <c r="D725" s="1290"/>
    </row>
    <row r="726" ht="15">
      <c r="D726" s="1290"/>
    </row>
    <row r="727" ht="15">
      <c r="D727" s="1290"/>
    </row>
    <row r="728" ht="15">
      <c r="D728" s="1290"/>
    </row>
    <row r="729" ht="15">
      <c r="D729" s="1290"/>
    </row>
    <row r="730" ht="15">
      <c r="D730" s="1290"/>
    </row>
    <row r="731" ht="15">
      <c r="D731" s="1290"/>
    </row>
    <row r="732" ht="15">
      <c r="D732" s="1290"/>
    </row>
    <row r="733" ht="15">
      <c r="D733" s="1290"/>
    </row>
    <row r="734" ht="15">
      <c r="D734" s="1290"/>
    </row>
    <row r="735" ht="15">
      <c r="D735" s="1290"/>
    </row>
    <row r="736" ht="15">
      <c r="D736" s="1290"/>
    </row>
    <row r="737" ht="15">
      <c r="D737" s="1290"/>
    </row>
    <row r="738" ht="15">
      <c r="D738" s="1290"/>
    </row>
    <row r="739" ht="15">
      <c r="D739" s="1290"/>
    </row>
    <row r="740" ht="15">
      <c r="D740" s="1290"/>
    </row>
    <row r="741" ht="15">
      <c r="D741" s="1290"/>
    </row>
    <row r="742" ht="15">
      <c r="D742" s="1290"/>
    </row>
    <row r="743" ht="15">
      <c r="D743" s="1290"/>
    </row>
    <row r="744" ht="15">
      <c r="D744" s="1290"/>
    </row>
    <row r="745" ht="15">
      <c r="D745" s="1290"/>
    </row>
    <row r="746" ht="15">
      <c r="D746" s="1290"/>
    </row>
    <row r="747" ht="15">
      <c r="D747" s="1290"/>
    </row>
    <row r="748" ht="15">
      <c r="D748" s="1290"/>
    </row>
    <row r="749" ht="15">
      <c r="D749" s="1290"/>
    </row>
    <row r="750" ht="15">
      <c r="D750" s="1290"/>
    </row>
    <row r="751" ht="15">
      <c r="D751" s="1290"/>
    </row>
    <row r="752" ht="15">
      <c r="D752" s="1290"/>
    </row>
    <row r="753" ht="15">
      <c r="D753" s="1290"/>
    </row>
    <row r="754" ht="15">
      <c r="D754" s="1290"/>
    </row>
    <row r="755" ht="15">
      <c r="D755" s="1290"/>
    </row>
    <row r="756" ht="15">
      <c r="D756" s="1290"/>
    </row>
    <row r="757" ht="15">
      <c r="D757" s="1290"/>
    </row>
    <row r="758" ht="15">
      <c r="D758" s="1290"/>
    </row>
    <row r="759" ht="15">
      <c r="D759" s="1290"/>
    </row>
    <row r="760" ht="15">
      <c r="D760" s="1290"/>
    </row>
    <row r="761" ht="15">
      <c r="D761" s="1290"/>
    </row>
    <row r="762" ht="15">
      <c r="D762" s="1290"/>
    </row>
    <row r="763" ht="15">
      <c r="D763" s="1290"/>
    </row>
    <row r="764" ht="15">
      <c r="D764" s="1290"/>
    </row>
    <row r="765" ht="15">
      <c r="D765" s="1290"/>
    </row>
    <row r="766" ht="15">
      <c r="D766" s="1290"/>
    </row>
    <row r="767" ht="15">
      <c r="D767" s="1290"/>
    </row>
    <row r="768" ht="15">
      <c r="D768" s="1290"/>
    </row>
    <row r="769" ht="15">
      <c r="D769" s="1290"/>
    </row>
    <row r="770" ht="15">
      <c r="D770" s="1290"/>
    </row>
    <row r="771" ht="15">
      <c r="D771" s="1290"/>
    </row>
    <row r="772" ht="15">
      <c r="D772" s="1290"/>
    </row>
    <row r="773" ht="15">
      <c r="D773" s="1290"/>
    </row>
    <row r="774" ht="15">
      <c r="D774" s="1290"/>
    </row>
    <row r="775" ht="15">
      <c r="D775" s="1290"/>
    </row>
    <row r="776" ht="15">
      <c r="D776" s="1290"/>
    </row>
    <row r="777" ht="15">
      <c r="D777" s="1290"/>
    </row>
    <row r="778" ht="15">
      <c r="D778" s="1290"/>
    </row>
    <row r="779" ht="15">
      <c r="D779" s="1290"/>
    </row>
    <row r="780" ht="15">
      <c r="D780" s="1290"/>
    </row>
    <row r="781" ht="15">
      <c r="D781" s="1290"/>
    </row>
    <row r="782" ht="15">
      <c r="D782" s="1290"/>
    </row>
    <row r="783" ht="15">
      <c r="D783" s="1290"/>
    </row>
    <row r="784" ht="15">
      <c r="D784" s="1290"/>
    </row>
    <row r="785" ht="15">
      <c r="D785" s="1290"/>
    </row>
    <row r="786" ht="15">
      <c r="D786" s="1290"/>
    </row>
    <row r="787" ht="15">
      <c r="D787" s="1290"/>
    </row>
    <row r="788" ht="15">
      <c r="D788" s="1290"/>
    </row>
    <row r="789" ht="15">
      <c r="D789" s="1290"/>
    </row>
    <row r="790" ht="15">
      <c r="D790" s="1290"/>
    </row>
    <row r="791" ht="15">
      <c r="D791" s="1290"/>
    </row>
    <row r="792" ht="15">
      <c r="D792" s="1290"/>
    </row>
    <row r="793" ht="15">
      <c r="D793" s="1290"/>
    </row>
    <row r="794" ht="15">
      <c r="D794" s="1290"/>
    </row>
    <row r="795" ht="15">
      <c r="D795" s="1290"/>
    </row>
    <row r="796" ht="15">
      <c r="D796" s="1290"/>
    </row>
    <row r="797" ht="15">
      <c r="D797" s="1290"/>
    </row>
    <row r="798" ht="15">
      <c r="D798" s="1290"/>
    </row>
    <row r="799" ht="15">
      <c r="D799" s="1290"/>
    </row>
    <row r="800" ht="15">
      <c r="D800" s="1290"/>
    </row>
    <row r="801" ht="15">
      <c r="D801" s="1290"/>
    </row>
    <row r="802" ht="15">
      <c r="D802" s="1290"/>
    </row>
    <row r="803" ht="15">
      <c r="D803" s="1290"/>
    </row>
    <row r="804" ht="15">
      <c r="D804" s="1290"/>
    </row>
    <row r="805" ht="15">
      <c r="D805" s="1290"/>
    </row>
    <row r="806" ht="15">
      <c r="D806" s="1290"/>
    </row>
    <row r="807" ht="15">
      <c r="D807" s="1290"/>
    </row>
    <row r="808" ht="15">
      <c r="D808" s="1290"/>
    </row>
    <row r="809" ht="15">
      <c r="D809" s="1290"/>
    </row>
    <row r="810" ht="15">
      <c r="D810" s="1290"/>
    </row>
    <row r="811" ht="15">
      <c r="D811" s="1290"/>
    </row>
    <row r="812" ht="15">
      <c r="D812" s="1290"/>
    </row>
    <row r="813" ht="15">
      <c r="D813" s="1290"/>
    </row>
    <row r="814" ht="15">
      <c r="D814" s="1290"/>
    </row>
    <row r="815" ht="15">
      <c r="D815" s="1290"/>
    </row>
    <row r="816" ht="15">
      <c r="D816" s="1290"/>
    </row>
    <row r="817" ht="15">
      <c r="D817" s="1290"/>
    </row>
    <row r="818" ht="15">
      <c r="D818" s="1290"/>
    </row>
    <row r="819" ht="15">
      <c r="D819" s="1290"/>
    </row>
    <row r="820" ht="15">
      <c r="D820" s="1290"/>
    </row>
    <row r="821" ht="15">
      <c r="D821" s="1290"/>
    </row>
    <row r="822" ht="15">
      <c r="D822" s="1290"/>
    </row>
    <row r="823" ht="15">
      <c r="D823" s="1290"/>
    </row>
    <row r="824" ht="15">
      <c r="D824" s="1290"/>
    </row>
    <row r="825" ht="15">
      <c r="D825" s="1290"/>
    </row>
    <row r="826" ht="15">
      <c r="D826" s="1290"/>
    </row>
    <row r="827" ht="15">
      <c r="D827" s="1290"/>
    </row>
    <row r="828" ht="15">
      <c r="D828" s="1290"/>
    </row>
    <row r="829" ht="15">
      <c r="D829" s="1290"/>
    </row>
    <row r="830" ht="15">
      <c r="D830" s="1290"/>
    </row>
    <row r="831" ht="15">
      <c r="D831" s="1290"/>
    </row>
    <row r="832" ht="15">
      <c r="D832" s="1290"/>
    </row>
    <row r="833" ht="15">
      <c r="D833" s="1290"/>
    </row>
    <row r="834" ht="15">
      <c r="D834" s="1290"/>
    </row>
    <row r="835" ht="15">
      <c r="D835" s="1290"/>
    </row>
    <row r="836" ht="15">
      <c r="D836" s="1290"/>
    </row>
    <row r="837" ht="15">
      <c r="D837" s="1290"/>
    </row>
    <row r="838" ht="15">
      <c r="D838" s="1290"/>
    </row>
    <row r="839" ht="15">
      <c r="D839" s="1290"/>
    </row>
    <row r="840" ht="15">
      <c r="D840" s="1290"/>
    </row>
    <row r="841" ht="15">
      <c r="D841" s="1290"/>
    </row>
    <row r="842" ht="15">
      <c r="D842" s="1290"/>
    </row>
    <row r="843" ht="15">
      <c r="D843" s="1290"/>
    </row>
    <row r="844" ht="15">
      <c r="D844" s="1290"/>
    </row>
    <row r="845" ht="15">
      <c r="D845" s="1290"/>
    </row>
    <row r="846" ht="15">
      <c r="D846" s="1290"/>
    </row>
    <row r="847" ht="15">
      <c r="D847" s="1290"/>
    </row>
    <row r="848" ht="15">
      <c r="D848" s="1290"/>
    </row>
    <row r="849" ht="15">
      <c r="D849" s="1290"/>
    </row>
    <row r="850" ht="15">
      <c r="D850" s="1290"/>
    </row>
    <row r="851" ht="15">
      <c r="D851" s="1290"/>
    </row>
    <row r="852" ht="15">
      <c r="D852" s="1290"/>
    </row>
    <row r="853" ht="15">
      <c r="D853" s="1290"/>
    </row>
    <row r="854" ht="15">
      <c r="D854" s="1290"/>
    </row>
    <row r="855" ht="15">
      <c r="D855" s="1290"/>
    </row>
    <row r="856" ht="15">
      <c r="D856" s="1290"/>
    </row>
    <row r="857" ht="15">
      <c r="D857" s="1290"/>
    </row>
    <row r="858" ht="15">
      <c r="D858" s="1290"/>
    </row>
    <row r="859" ht="15">
      <c r="D859" s="1290"/>
    </row>
    <row r="860" ht="15">
      <c r="D860" s="1290"/>
    </row>
    <row r="861" ht="15">
      <c r="D861" s="1290"/>
    </row>
    <row r="862" ht="15">
      <c r="D862" s="1290"/>
    </row>
    <row r="863" ht="15">
      <c r="D863" s="1290"/>
    </row>
    <row r="864" ht="15">
      <c r="D864" s="1290"/>
    </row>
    <row r="865" ht="15">
      <c r="D865" s="1290"/>
    </row>
    <row r="866" ht="15">
      <c r="D866" s="1290"/>
    </row>
    <row r="867" ht="15">
      <c r="D867" s="1290"/>
    </row>
    <row r="868" ht="15">
      <c r="D868" s="1290"/>
    </row>
    <row r="869" ht="15">
      <c r="D869" s="1290"/>
    </row>
    <row r="870" ht="15">
      <c r="D870" s="1290"/>
    </row>
    <row r="871" ht="15">
      <c r="D871" s="1290"/>
    </row>
    <row r="872" ht="15">
      <c r="D872" s="1290"/>
    </row>
    <row r="873" ht="15">
      <c r="D873" s="1290"/>
    </row>
    <row r="874" ht="15">
      <c r="D874" s="1290"/>
    </row>
    <row r="875" ht="15">
      <c r="D875" s="1290"/>
    </row>
    <row r="876" ht="15">
      <c r="D876" s="1290"/>
    </row>
    <row r="877" ht="15">
      <c r="D877" s="1290"/>
    </row>
    <row r="878" ht="15">
      <c r="D878" s="1290"/>
    </row>
    <row r="879" ht="15">
      <c r="D879" s="1290"/>
    </row>
    <row r="880" ht="15">
      <c r="D880" s="1290"/>
    </row>
    <row r="881" ht="15">
      <c r="D881" s="1290"/>
    </row>
    <row r="882" ht="15">
      <c r="D882" s="1290"/>
    </row>
    <row r="883" ht="15">
      <c r="D883" s="1290"/>
    </row>
    <row r="884" ht="15">
      <c r="D884" s="1290"/>
    </row>
    <row r="885" ht="15">
      <c r="D885" s="1290"/>
    </row>
    <row r="886" ht="15">
      <c r="D886" s="1290"/>
    </row>
    <row r="887" ht="15">
      <c r="D887" s="1290"/>
    </row>
    <row r="888" ht="15">
      <c r="D888" s="1290"/>
    </row>
    <row r="889" ht="15">
      <c r="D889" s="1290"/>
    </row>
    <row r="890" ht="15">
      <c r="D890" s="1290"/>
    </row>
    <row r="891" ht="15">
      <c r="D891" s="1290"/>
    </row>
    <row r="892" ht="15">
      <c r="D892" s="1290"/>
    </row>
    <row r="893" ht="15">
      <c r="D893" s="1290"/>
    </row>
    <row r="894" ht="15">
      <c r="D894" s="1290"/>
    </row>
    <row r="895" ht="15">
      <c r="D895" s="1290"/>
    </row>
    <row r="896" ht="15">
      <c r="D896" s="1290"/>
    </row>
    <row r="897" ht="15">
      <c r="D897" s="1290"/>
    </row>
    <row r="898" ht="15">
      <c r="D898" s="1290"/>
    </row>
    <row r="899" ht="15">
      <c r="D899" s="1290"/>
    </row>
    <row r="900" ht="15">
      <c r="D900" s="1290"/>
    </row>
    <row r="901" ht="15">
      <c r="D901" s="1290"/>
    </row>
    <row r="902" ht="15">
      <c r="D902" s="1290"/>
    </row>
    <row r="903" ht="15">
      <c r="D903" s="1290"/>
    </row>
    <row r="904" ht="15">
      <c r="D904" s="1290"/>
    </row>
    <row r="905" ht="15">
      <c r="D905" s="1290"/>
    </row>
    <row r="906" ht="15">
      <c r="D906" s="1290"/>
    </row>
    <row r="907" ht="15">
      <c r="D907" s="1290"/>
    </row>
    <row r="908" ht="15">
      <c r="D908" s="1290"/>
    </row>
    <row r="909" ht="15">
      <c r="D909" s="1290"/>
    </row>
    <row r="910" ht="15">
      <c r="D910" s="1290"/>
    </row>
    <row r="911" ht="15">
      <c r="D911" s="1290"/>
    </row>
    <row r="912" ht="15">
      <c r="D912" s="1290"/>
    </row>
    <row r="913" ht="15">
      <c r="D913" s="1290"/>
    </row>
    <row r="914" ht="15">
      <c r="D914" s="1290"/>
    </row>
    <row r="915" ht="15">
      <c r="D915" s="1290"/>
    </row>
    <row r="916" ht="15">
      <c r="D916" s="1290"/>
    </row>
    <row r="917" ht="15">
      <c r="D917" s="1290"/>
    </row>
    <row r="918" ht="15">
      <c r="D918" s="1290"/>
    </row>
    <row r="919" ht="15">
      <c r="D919" s="1290"/>
    </row>
    <row r="920" ht="15">
      <c r="D920" s="1290"/>
    </row>
    <row r="921" ht="15">
      <c r="D921" s="1290"/>
    </row>
    <row r="922" ht="15">
      <c r="D922" s="1290"/>
    </row>
    <row r="923" ht="15">
      <c r="D923" s="1290"/>
    </row>
    <row r="924" ht="15">
      <c r="D924" s="1290"/>
    </row>
    <row r="925" ht="15">
      <c r="D925" s="1290"/>
    </row>
    <row r="926" ht="15">
      <c r="D926" s="1290"/>
    </row>
    <row r="927" ht="15">
      <c r="D927" s="1290"/>
    </row>
    <row r="928" ht="15">
      <c r="D928" s="1290"/>
    </row>
    <row r="929" ht="15">
      <c r="D929" s="1290"/>
    </row>
    <row r="930" ht="15">
      <c r="D930" s="1290"/>
    </row>
    <row r="931" ht="15">
      <c r="D931" s="1290"/>
    </row>
    <row r="932" ht="15">
      <c r="D932" s="1290"/>
    </row>
    <row r="933" ht="15">
      <c r="D933" s="1290"/>
    </row>
    <row r="934" ht="15">
      <c r="D934" s="1290"/>
    </row>
    <row r="935" ht="15">
      <c r="D935" s="1290"/>
    </row>
    <row r="936" ht="15">
      <c r="D936" s="1290"/>
    </row>
    <row r="937" ht="15">
      <c r="D937" s="1290"/>
    </row>
    <row r="938" ht="15">
      <c r="D938" s="1290"/>
    </row>
    <row r="939" ht="15">
      <c r="D939" s="1290"/>
    </row>
    <row r="940" ht="15">
      <c r="D940" s="1290"/>
    </row>
    <row r="941" ht="15">
      <c r="D941" s="1290"/>
    </row>
    <row r="942" ht="15">
      <c r="D942" s="1290"/>
    </row>
    <row r="943" ht="15">
      <c r="D943" s="1290"/>
    </row>
    <row r="944" ht="15">
      <c r="D944" s="1290"/>
    </row>
    <row r="945" ht="15">
      <c r="D945" s="1290"/>
    </row>
    <row r="946" ht="15">
      <c r="D946" s="1290"/>
    </row>
    <row r="947" ht="15">
      <c r="D947" s="1290"/>
    </row>
    <row r="948" ht="15">
      <c r="D948" s="1290"/>
    </row>
    <row r="949" ht="15">
      <c r="D949" s="1290"/>
    </row>
    <row r="950" ht="15">
      <c r="D950" s="1290"/>
    </row>
    <row r="951" ht="15">
      <c r="D951" s="1290"/>
    </row>
    <row r="952" ht="15">
      <c r="D952" s="1290"/>
    </row>
    <row r="953" ht="15">
      <c r="D953" s="1290"/>
    </row>
    <row r="954" ht="15">
      <c r="D954" s="1290"/>
    </row>
    <row r="955" ht="15">
      <c r="D955" s="1290"/>
    </row>
    <row r="956" ht="15">
      <c r="D956" s="1290"/>
    </row>
    <row r="957" ht="15">
      <c r="D957" s="1290"/>
    </row>
    <row r="958" ht="15">
      <c r="D958" s="1290"/>
    </row>
    <row r="959" ht="15">
      <c r="D959" s="1290"/>
    </row>
    <row r="960" ht="15">
      <c r="D960" s="1290"/>
    </row>
    <row r="961" ht="15">
      <c r="D961" s="1290"/>
    </row>
    <row r="962" ht="15">
      <c r="D962" s="1290"/>
    </row>
    <row r="963" ht="15">
      <c r="D963" s="1290"/>
    </row>
    <row r="964" ht="15">
      <c r="D964" s="1290"/>
    </row>
    <row r="965" ht="15">
      <c r="D965" s="1290"/>
    </row>
    <row r="966" ht="15">
      <c r="D966" s="1290"/>
    </row>
    <row r="967" ht="15">
      <c r="D967" s="1290"/>
    </row>
    <row r="968" ht="15">
      <c r="D968" s="1290"/>
    </row>
    <row r="969" ht="15">
      <c r="D969" s="1290"/>
    </row>
    <row r="970" ht="15">
      <c r="D970" s="1290"/>
    </row>
    <row r="971" ht="15">
      <c r="D971" s="1290"/>
    </row>
    <row r="972" ht="15">
      <c r="D972" s="1290"/>
    </row>
    <row r="973" ht="15">
      <c r="D973" s="1290"/>
    </row>
    <row r="974" ht="15">
      <c r="D974" s="1290"/>
    </row>
    <row r="975" ht="15">
      <c r="D975" s="1290"/>
    </row>
    <row r="976" ht="15">
      <c r="D976" s="1290"/>
    </row>
    <row r="977" ht="15">
      <c r="D977" s="1290"/>
    </row>
    <row r="978" ht="15">
      <c r="D978" s="1290"/>
    </row>
    <row r="979" ht="15">
      <c r="D979" s="1290"/>
    </row>
    <row r="980" ht="15">
      <c r="D980" s="1290"/>
    </row>
    <row r="981" ht="15">
      <c r="D981" s="1290"/>
    </row>
    <row r="982" ht="15">
      <c r="D982" s="1290"/>
    </row>
    <row r="983" ht="15">
      <c r="D983" s="1290"/>
    </row>
    <row r="984" ht="15">
      <c r="D984" s="1290"/>
    </row>
    <row r="985" ht="15">
      <c r="D985" s="1290"/>
    </row>
    <row r="986" ht="15">
      <c r="D986" s="1290"/>
    </row>
    <row r="987" ht="15">
      <c r="D987" s="1290"/>
    </row>
    <row r="988" ht="15">
      <c r="D988" s="1290"/>
    </row>
    <row r="989" ht="15">
      <c r="D989" s="1290"/>
    </row>
    <row r="990" ht="15">
      <c r="D990" s="1290"/>
    </row>
    <row r="991" ht="15">
      <c r="D991" s="1290"/>
    </row>
    <row r="992" ht="15">
      <c r="D992" s="1290"/>
    </row>
    <row r="993" ht="15">
      <c r="D993" s="1290"/>
    </row>
    <row r="994" ht="15">
      <c r="D994" s="1290"/>
    </row>
    <row r="995" ht="15">
      <c r="D995" s="1290"/>
    </row>
    <row r="996" ht="15">
      <c r="D996" s="1290"/>
    </row>
    <row r="997" ht="15">
      <c r="D997" s="1290"/>
    </row>
    <row r="998" ht="15">
      <c r="D998" s="1290"/>
    </row>
    <row r="999" ht="15">
      <c r="D999" s="1290"/>
    </row>
    <row r="1000" ht="15">
      <c r="D1000" s="1290"/>
    </row>
    <row r="1001" ht="15">
      <c r="D1001" s="1290"/>
    </row>
    <row r="1002" ht="15">
      <c r="D1002" s="1290"/>
    </row>
    <row r="1003" ht="15">
      <c r="D1003" s="1290"/>
    </row>
    <row r="1004" ht="15">
      <c r="D1004" s="1290"/>
    </row>
    <row r="1005" ht="15">
      <c r="D1005" s="1290"/>
    </row>
    <row r="1006" ht="15">
      <c r="D1006" s="1290"/>
    </row>
    <row r="1007" ht="15">
      <c r="D1007" s="1290"/>
    </row>
    <row r="1008" ht="15">
      <c r="D1008" s="1290"/>
    </row>
    <row r="1009" ht="15">
      <c r="D1009" s="1290"/>
    </row>
    <row r="1010" ht="15">
      <c r="D1010" s="1290"/>
    </row>
    <row r="1011" ht="15">
      <c r="D1011" s="1290"/>
    </row>
    <row r="1012" ht="15">
      <c r="D1012" s="1290"/>
    </row>
    <row r="1013" ht="15">
      <c r="D1013" s="1290"/>
    </row>
    <row r="1014" ht="15">
      <c r="D1014" s="1290"/>
    </row>
    <row r="1015" ht="15">
      <c r="D1015" s="1290"/>
    </row>
    <row r="1016" ht="15">
      <c r="D1016" s="1290"/>
    </row>
    <row r="1017" ht="15">
      <c r="D1017" s="1290"/>
    </row>
    <row r="1018" ht="15">
      <c r="D1018" s="1290"/>
    </row>
    <row r="1019" ht="15">
      <c r="D1019" s="1290"/>
    </row>
    <row r="1020" ht="15">
      <c r="D1020" s="1290"/>
    </row>
    <row r="1021" ht="15">
      <c r="D1021" s="1290"/>
    </row>
    <row r="1022" ht="15">
      <c r="D1022" s="1290"/>
    </row>
    <row r="1023" ht="15">
      <c r="D1023" s="1290"/>
    </row>
    <row r="1024" ht="15">
      <c r="D1024" s="1290"/>
    </row>
    <row r="1025" ht="15">
      <c r="D1025" s="1290"/>
    </row>
    <row r="1026" ht="15">
      <c r="D1026" s="1290"/>
    </row>
    <row r="1027" ht="15">
      <c r="D1027" s="1290"/>
    </row>
    <row r="1028" ht="15">
      <c r="D1028" s="1290"/>
    </row>
    <row r="1029" ht="15">
      <c r="D1029" s="1290"/>
    </row>
    <row r="1030" ht="15">
      <c r="D1030" s="1290"/>
    </row>
    <row r="1031" ht="15">
      <c r="D1031" s="1290"/>
    </row>
    <row r="1032" ht="15">
      <c r="D1032" s="1290"/>
    </row>
    <row r="1033" ht="15">
      <c r="D1033" s="1290"/>
    </row>
    <row r="1034" ht="15">
      <c r="D1034" s="1290"/>
    </row>
    <row r="1035" ht="15">
      <c r="D1035" s="1290"/>
    </row>
    <row r="1036" ht="15">
      <c r="D1036" s="1290"/>
    </row>
    <row r="1037" ht="15">
      <c r="D1037" s="1290"/>
    </row>
    <row r="1038" ht="15">
      <c r="D1038" s="1290"/>
    </row>
    <row r="1039" ht="15">
      <c r="D1039" s="1290"/>
    </row>
    <row r="1040" ht="15">
      <c r="D1040" s="1290"/>
    </row>
    <row r="1041" ht="15">
      <c r="D1041" s="1290"/>
    </row>
    <row r="1042" ht="15">
      <c r="D1042" s="1290"/>
    </row>
    <row r="1043" ht="15">
      <c r="D1043" s="1290"/>
    </row>
    <row r="1044" ht="15">
      <c r="D1044" s="1290"/>
    </row>
    <row r="1045" ht="15">
      <c r="D1045" s="1290"/>
    </row>
    <row r="1046" ht="15">
      <c r="D1046" s="1290"/>
    </row>
    <row r="1047" ht="15">
      <c r="D1047" s="1290"/>
    </row>
    <row r="1048" ht="15">
      <c r="D1048" s="1290"/>
    </row>
    <row r="1049" ht="15">
      <c r="D1049" s="1290"/>
    </row>
    <row r="1050" ht="15">
      <c r="D1050" s="1290"/>
    </row>
    <row r="1051" ht="15">
      <c r="D1051" s="1290"/>
    </row>
    <row r="1052" ht="15">
      <c r="D1052" s="1290"/>
    </row>
    <row r="1053" ht="15">
      <c r="D1053" s="1290"/>
    </row>
    <row r="1054" ht="15">
      <c r="D1054" s="1290"/>
    </row>
    <row r="1055" ht="15">
      <c r="D1055" s="1290"/>
    </row>
    <row r="1056" ht="15">
      <c r="D1056" s="1290"/>
    </row>
    <row r="1057" ht="15">
      <c r="D1057" s="1290"/>
    </row>
    <row r="1058" ht="15">
      <c r="D1058" s="1290"/>
    </row>
    <row r="1059" ht="15">
      <c r="D1059" s="1290"/>
    </row>
    <row r="1060" ht="15">
      <c r="D1060" s="1290"/>
    </row>
    <row r="1061" ht="15">
      <c r="D1061" s="1290"/>
    </row>
    <row r="1062" ht="15">
      <c r="D1062" s="1290"/>
    </row>
    <row r="1063" ht="15">
      <c r="D1063" s="1290"/>
    </row>
    <row r="1064" ht="15">
      <c r="D1064" s="1290"/>
    </row>
    <row r="1065" ht="15">
      <c r="D1065" s="1290"/>
    </row>
    <row r="1066" ht="15">
      <c r="D1066" s="1290"/>
    </row>
    <row r="1067" ht="15">
      <c r="D1067" s="1290"/>
    </row>
    <row r="1068" ht="15">
      <c r="D1068" s="1290"/>
    </row>
    <row r="1069" ht="15">
      <c r="D1069" s="1290"/>
    </row>
    <row r="1070" ht="15">
      <c r="D1070" s="1290"/>
    </row>
    <row r="1071" ht="15">
      <c r="D1071" s="1290"/>
    </row>
    <row r="1072" ht="15">
      <c r="D1072" s="1290"/>
    </row>
    <row r="1073" ht="15">
      <c r="D1073" s="1290"/>
    </row>
    <row r="1074" ht="15">
      <c r="D1074" s="1290"/>
    </row>
    <row r="1075" ht="15">
      <c r="D1075" s="1290"/>
    </row>
    <row r="1076" ht="15">
      <c r="D1076" s="1290"/>
    </row>
    <row r="1077" ht="15">
      <c r="D1077" s="1290"/>
    </row>
    <row r="1078" ht="15">
      <c r="D1078" s="1290"/>
    </row>
    <row r="1079" ht="15">
      <c r="D1079" s="1290"/>
    </row>
    <row r="1080" ht="15">
      <c r="D1080" s="1290"/>
    </row>
    <row r="1081" ht="15">
      <c r="D1081" s="1290"/>
    </row>
    <row r="1082" ht="15">
      <c r="D1082" s="1290"/>
    </row>
    <row r="1083" ht="15">
      <c r="D1083" s="1290"/>
    </row>
    <row r="1084" ht="15">
      <c r="D1084" s="1290"/>
    </row>
    <row r="1085" ht="15">
      <c r="D1085" s="1290"/>
    </row>
    <row r="1086" ht="15">
      <c r="D1086" s="1290"/>
    </row>
    <row r="1087" ht="15">
      <c r="D1087" s="1290"/>
    </row>
    <row r="1088" ht="15">
      <c r="D1088" s="1290"/>
    </row>
    <row r="1089" ht="15">
      <c r="D1089" s="1290"/>
    </row>
    <row r="1090" ht="15">
      <c r="D1090" s="1290"/>
    </row>
    <row r="1091" ht="15">
      <c r="D1091" s="1290"/>
    </row>
    <row r="1092" ht="15">
      <c r="D1092" s="1290"/>
    </row>
    <row r="1093" ht="15">
      <c r="D1093" s="1290"/>
    </row>
    <row r="1094" ht="15">
      <c r="D1094" s="1290"/>
    </row>
    <row r="1095" ht="15">
      <c r="D1095" s="1290"/>
    </row>
    <row r="1096" ht="15">
      <c r="D1096" s="1290"/>
    </row>
    <row r="1097" ht="15">
      <c r="D1097" s="1290"/>
    </row>
    <row r="1098" ht="15">
      <c r="D1098" s="1290"/>
    </row>
    <row r="1099" ht="15">
      <c r="D1099" s="1290"/>
    </row>
    <row r="1100" ht="15">
      <c r="D1100" s="1290"/>
    </row>
    <row r="1101" ht="15">
      <c r="D1101" s="1290"/>
    </row>
    <row r="1102" ht="15">
      <c r="D1102" s="1290"/>
    </row>
    <row r="1103" ht="15">
      <c r="D1103" s="1290"/>
    </row>
    <row r="1104" ht="15">
      <c r="D1104" s="1290"/>
    </row>
    <row r="1105" ht="15">
      <c r="D1105" s="1290"/>
    </row>
    <row r="1106" ht="15">
      <c r="D1106" s="1290"/>
    </row>
    <row r="1107" ht="15">
      <c r="D1107" s="1290"/>
    </row>
    <row r="1108" ht="15">
      <c r="D1108" s="1290"/>
    </row>
    <row r="1109" ht="15">
      <c r="D1109" s="1290"/>
    </row>
    <row r="1110" ht="15">
      <c r="D1110" s="1290"/>
    </row>
    <row r="1111" ht="15">
      <c r="D1111" s="1290"/>
    </row>
    <row r="1112" ht="15">
      <c r="D1112" s="1290"/>
    </row>
    <row r="1113" ht="15">
      <c r="D1113" s="1290"/>
    </row>
    <row r="1114" ht="15">
      <c r="D1114" s="1290"/>
    </row>
    <row r="1115" ht="15">
      <c r="D1115" s="1290"/>
    </row>
    <row r="1116" ht="15">
      <c r="D1116" s="1290"/>
    </row>
    <row r="1117" ht="15">
      <c r="D1117" s="1290"/>
    </row>
    <row r="1118" ht="15">
      <c r="D1118" s="1290"/>
    </row>
    <row r="1119" ht="15">
      <c r="D1119" s="1290"/>
    </row>
    <row r="1120" ht="15">
      <c r="D1120" s="1290"/>
    </row>
    <row r="1121" ht="15">
      <c r="D1121" s="1290"/>
    </row>
    <row r="1122" ht="15">
      <c r="D1122" s="1290"/>
    </row>
    <row r="1123" ht="15">
      <c r="D1123" s="1290"/>
    </row>
    <row r="1124" ht="15">
      <c r="D1124" s="1290"/>
    </row>
    <row r="1125" ht="15">
      <c r="D1125" s="1290"/>
    </row>
    <row r="1126" ht="15">
      <c r="D1126" s="1290"/>
    </row>
    <row r="1127" ht="15">
      <c r="D1127" s="1290"/>
    </row>
    <row r="1128" ht="15">
      <c r="D1128" s="1290"/>
    </row>
    <row r="1129" ht="15">
      <c r="D1129" s="1290"/>
    </row>
    <row r="1130" ht="15">
      <c r="D1130" s="1290"/>
    </row>
    <row r="1131" ht="15">
      <c r="D1131" s="1290"/>
    </row>
    <row r="1132" ht="15">
      <c r="D1132" s="1290"/>
    </row>
    <row r="1133" ht="15">
      <c r="D1133" s="1290"/>
    </row>
    <row r="1134" ht="15">
      <c r="D1134" s="1290"/>
    </row>
    <row r="1135" ht="15">
      <c r="D1135" s="1290"/>
    </row>
    <row r="1136" ht="15">
      <c r="D1136" s="1290"/>
    </row>
    <row r="1137" ht="15">
      <c r="D1137" s="1290"/>
    </row>
    <row r="1138" ht="15">
      <c r="D1138" s="1290"/>
    </row>
    <row r="1139" ht="15">
      <c r="D1139" s="1290"/>
    </row>
    <row r="1140" ht="15">
      <c r="D1140" s="1290"/>
    </row>
    <row r="1141" ht="15">
      <c r="D1141" s="1290"/>
    </row>
    <row r="1142" ht="15">
      <c r="D1142" s="1290"/>
    </row>
    <row r="1143" ht="15">
      <c r="D1143" s="1290"/>
    </row>
    <row r="1144" ht="15">
      <c r="D1144" s="1290"/>
    </row>
    <row r="1145" ht="15">
      <c r="D1145" s="1290"/>
    </row>
    <row r="1146" ht="15">
      <c r="D1146" s="1290"/>
    </row>
    <row r="1147" ht="15">
      <c r="D1147" s="1290"/>
    </row>
    <row r="1148" ht="15">
      <c r="D1148" s="1290"/>
    </row>
    <row r="1149" ht="15">
      <c r="D1149" s="1290"/>
    </row>
    <row r="1150" ht="15">
      <c r="D1150" s="1290"/>
    </row>
    <row r="1151" ht="15">
      <c r="D1151" s="1290"/>
    </row>
    <row r="1152" ht="15">
      <c r="D1152" s="1290"/>
    </row>
    <row r="1153" ht="15">
      <c r="D1153" s="1290"/>
    </row>
    <row r="1154" ht="15">
      <c r="D1154" s="1290"/>
    </row>
    <row r="1155" ht="15">
      <c r="D1155" s="1290"/>
    </row>
    <row r="1156" ht="15">
      <c r="D1156" s="1290"/>
    </row>
    <row r="1157" ht="15">
      <c r="D1157" s="1290"/>
    </row>
    <row r="1158" ht="15">
      <c r="D1158" s="1290"/>
    </row>
    <row r="1159" ht="15">
      <c r="D1159" s="1290"/>
    </row>
    <row r="1160" ht="15">
      <c r="D1160" s="1290"/>
    </row>
    <row r="1161" ht="15">
      <c r="D1161" s="1290"/>
    </row>
    <row r="1162" ht="15">
      <c r="D1162" s="1290"/>
    </row>
    <row r="1163" ht="15">
      <c r="D1163" s="1290"/>
    </row>
    <row r="1164" ht="15">
      <c r="D1164" s="1290"/>
    </row>
    <row r="1165" ht="15">
      <c r="D1165" s="1290"/>
    </row>
    <row r="1166" ht="15">
      <c r="D1166" s="1290"/>
    </row>
    <row r="1167" ht="15">
      <c r="D1167" s="1290"/>
    </row>
    <row r="1168" ht="15">
      <c r="D1168" s="1290"/>
    </row>
    <row r="1169" ht="15">
      <c r="D1169" s="1290"/>
    </row>
    <row r="1170" ht="15">
      <c r="D1170" s="1290"/>
    </row>
    <row r="1171" ht="15">
      <c r="D1171" s="1290"/>
    </row>
    <row r="1172" ht="15">
      <c r="D1172" s="1290"/>
    </row>
    <row r="1173" ht="15">
      <c r="D1173" s="1290"/>
    </row>
    <row r="1174" ht="15">
      <c r="D1174" s="1290"/>
    </row>
    <row r="1175" ht="15">
      <c r="D1175" s="1290"/>
    </row>
    <row r="1176" ht="15">
      <c r="D1176" s="1290"/>
    </row>
    <row r="1177" ht="15">
      <c r="D1177" s="1290"/>
    </row>
    <row r="1178" ht="15">
      <c r="D1178" s="1290"/>
    </row>
    <row r="1179" ht="15">
      <c r="D1179" s="1290"/>
    </row>
    <row r="1180" ht="15">
      <c r="D1180" s="1290"/>
    </row>
    <row r="1181" ht="15">
      <c r="D1181" s="1290"/>
    </row>
    <row r="1182" ht="15">
      <c r="D1182" s="1290"/>
    </row>
    <row r="1183" ht="15">
      <c r="D1183" s="1290"/>
    </row>
    <row r="1184" ht="15">
      <c r="D1184" s="1290"/>
    </row>
    <row r="1185" ht="15">
      <c r="D1185" s="1290"/>
    </row>
    <row r="1186" ht="15">
      <c r="D1186" s="1290"/>
    </row>
    <row r="1187" ht="15">
      <c r="D1187" s="1290"/>
    </row>
    <row r="1188" ht="15">
      <c r="D1188" s="1290"/>
    </row>
    <row r="1189" ht="15">
      <c r="D1189" s="1290"/>
    </row>
    <row r="1190" ht="15">
      <c r="D1190" s="1290"/>
    </row>
    <row r="1191" ht="15">
      <c r="D1191" s="1290"/>
    </row>
    <row r="1192" ht="15">
      <c r="D1192" s="1290"/>
    </row>
    <row r="1193" ht="15">
      <c r="D1193" s="1290"/>
    </row>
    <row r="1194" ht="15">
      <c r="D1194" s="1290"/>
    </row>
    <row r="1195" ht="15">
      <c r="D1195" s="1290"/>
    </row>
    <row r="1196" ht="15">
      <c r="D1196" s="1290"/>
    </row>
    <row r="1197" ht="15">
      <c r="D1197" s="1290"/>
    </row>
    <row r="1198" ht="15">
      <c r="D1198" s="1290"/>
    </row>
    <row r="1199" ht="15">
      <c r="D1199" s="1290"/>
    </row>
    <row r="1200" ht="15">
      <c r="D1200" s="1290"/>
    </row>
    <row r="1201" ht="15">
      <c r="D1201" s="1290"/>
    </row>
    <row r="1202" ht="15">
      <c r="D1202" s="1290"/>
    </row>
    <row r="1203" ht="15">
      <c r="D1203" s="1290"/>
    </row>
    <row r="1204" ht="15">
      <c r="D1204" s="1290"/>
    </row>
    <row r="1205" ht="15">
      <c r="D1205" s="1290"/>
    </row>
    <row r="1206" ht="15">
      <c r="D1206" s="1290"/>
    </row>
    <row r="1207" ht="15">
      <c r="D1207" s="1290"/>
    </row>
    <row r="1208" ht="15">
      <c r="D1208" s="1290"/>
    </row>
    <row r="1209" ht="15">
      <c r="D1209" s="1290"/>
    </row>
    <row r="1210" ht="15">
      <c r="D1210" s="1290"/>
    </row>
    <row r="1211" ht="15">
      <c r="D1211" s="1290"/>
    </row>
    <row r="1212" ht="15">
      <c r="D1212" s="1290"/>
    </row>
    <row r="1213" ht="15">
      <c r="D1213" s="1290"/>
    </row>
    <row r="1214" ht="15">
      <c r="D1214" s="1290"/>
    </row>
    <row r="1215" ht="15">
      <c r="D1215" s="1290"/>
    </row>
    <row r="1216" ht="15">
      <c r="D1216" s="1290"/>
    </row>
    <row r="1217" ht="15">
      <c r="D1217" s="1290"/>
    </row>
    <row r="1218" ht="15">
      <c r="D1218" s="1290"/>
    </row>
    <row r="1219" ht="15">
      <c r="D1219" s="1290"/>
    </row>
    <row r="1220" ht="15">
      <c r="D1220" s="1290"/>
    </row>
    <row r="1221" ht="15">
      <c r="D1221" s="1290"/>
    </row>
    <row r="1222" ht="15">
      <c r="D1222" s="1290"/>
    </row>
    <row r="1223" ht="15">
      <c r="D1223" s="1290"/>
    </row>
    <row r="1224" ht="15">
      <c r="D1224" s="1290"/>
    </row>
    <row r="1225" ht="15">
      <c r="D1225" s="1290"/>
    </row>
    <row r="1226" ht="15">
      <c r="D1226" s="1290"/>
    </row>
    <row r="1227" ht="15">
      <c r="D1227" s="1290"/>
    </row>
    <row r="1228" ht="15">
      <c r="D1228" s="1290"/>
    </row>
    <row r="1229" ht="15">
      <c r="D1229" s="1290"/>
    </row>
    <row r="1230" ht="15">
      <c r="D1230" s="1290"/>
    </row>
    <row r="1231" ht="15">
      <c r="D1231" s="1290"/>
    </row>
    <row r="1232" ht="15">
      <c r="D1232" s="1290"/>
    </row>
    <row r="1233" ht="15">
      <c r="D1233" s="1290"/>
    </row>
    <row r="1234" ht="15">
      <c r="D1234" s="1290"/>
    </row>
    <row r="1235" ht="15">
      <c r="D1235" s="1290"/>
    </row>
    <row r="1236" ht="15">
      <c r="D1236" s="1290"/>
    </row>
    <row r="1237" ht="15">
      <c r="D1237" s="1290"/>
    </row>
    <row r="1238" ht="15">
      <c r="D1238" s="1290"/>
    </row>
    <row r="1239" ht="15">
      <c r="D1239" s="1290"/>
    </row>
    <row r="1240" ht="15">
      <c r="D1240" s="1290"/>
    </row>
    <row r="1241" ht="15">
      <c r="D1241" s="1290"/>
    </row>
    <row r="1242" ht="15">
      <c r="D1242" s="1290"/>
    </row>
    <row r="1243" ht="15">
      <c r="D1243" s="1290"/>
    </row>
    <row r="1244" ht="15">
      <c r="D1244" s="1290"/>
    </row>
    <row r="1245" ht="15">
      <c r="D1245" s="1290"/>
    </row>
    <row r="1246" ht="15">
      <c r="D1246" s="1290"/>
    </row>
    <row r="1247" ht="15">
      <c r="D1247" s="1290"/>
    </row>
    <row r="1248" ht="15">
      <c r="D1248" s="1290"/>
    </row>
    <row r="1249" ht="15">
      <c r="D1249" s="1290"/>
    </row>
    <row r="1250" ht="15">
      <c r="D1250" s="1290"/>
    </row>
    <row r="1251" ht="15">
      <c r="D1251" s="1290"/>
    </row>
    <row r="1252" ht="15">
      <c r="D1252" s="1290"/>
    </row>
    <row r="1253" ht="15">
      <c r="D1253" s="1290"/>
    </row>
    <row r="1254" ht="15">
      <c r="D1254" s="1290"/>
    </row>
    <row r="1255" ht="15">
      <c r="D1255" s="1290"/>
    </row>
    <row r="1256" ht="15">
      <c r="D1256" s="1290"/>
    </row>
    <row r="1257" ht="15">
      <c r="D1257" s="1290"/>
    </row>
    <row r="1258" ht="15">
      <c r="D1258" s="1290"/>
    </row>
    <row r="1259" ht="15">
      <c r="D1259" s="1290"/>
    </row>
    <row r="1260" ht="15">
      <c r="D1260" s="1290"/>
    </row>
    <row r="1261" ht="15">
      <c r="D1261" s="1290"/>
    </row>
    <row r="1262" ht="15">
      <c r="D1262" s="1290"/>
    </row>
    <row r="1263" ht="15">
      <c r="D1263" s="1290"/>
    </row>
    <row r="1264" ht="15">
      <c r="D1264" s="1290"/>
    </row>
    <row r="1265" ht="15">
      <c r="D1265" s="1290"/>
    </row>
    <row r="1266" ht="15">
      <c r="D1266" s="1290"/>
    </row>
    <row r="1267" ht="15">
      <c r="D1267" s="1290"/>
    </row>
    <row r="1268" ht="15">
      <c r="D1268" s="1290"/>
    </row>
    <row r="1269" ht="15">
      <c r="D1269" s="1290"/>
    </row>
    <row r="1270" ht="15">
      <c r="D1270" s="1290"/>
    </row>
    <row r="1271" ht="15">
      <c r="D1271" s="1290"/>
    </row>
    <row r="1272" ht="15">
      <c r="D1272" s="1290"/>
    </row>
    <row r="1273" ht="15">
      <c r="D1273" s="1290"/>
    </row>
    <row r="1274" ht="15">
      <c r="D1274" s="1290"/>
    </row>
    <row r="1275" ht="15">
      <c r="D1275" s="1290"/>
    </row>
    <row r="1276" ht="15">
      <c r="D1276" s="1290"/>
    </row>
    <row r="1277" ht="15">
      <c r="D1277" s="1290"/>
    </row>
    <row r="1278" ht="15">
      <c r="D1278" s="1290"/>
    </row>
    <row r="1279" ht="15">
      <c r="D1279" s="1290"/>
    </row>
    <row r="1280" ht="15">
      <c r="D1280" s="1290"/>
    </row>
    <row r="1281" ht="15">
      <c r="D1281" s="1290"/>
    </row>
    <row r="1282" ht="15">
      <c r="D1282" s="1290"/>
    </row>
    <row r="1283" ht="15">
      <c r="D1283" s="1290"/>
    </row>
    <row r="1284" ht="15">
      <c r="D1284" s="1290"/>
    </row>
    <row r="1285" ht="15">
      <c r="D1285" s="1290"/>
    </row>
    <row r="1286" ht="15">
      <c r="D1286" s="1290"/>
    </row>
    <row r="1287" ht="15">
      <c r="D1287" s="1290"/>
    </row>
    <row r="1288" ht="15">
      <c r="D1288" s="1290"/>
    </row>
    <row r="1289" ht="15">
      <c r="D1289" s="1290"/>
    </row>
    <row r="1290" ht="15">
      <c r="D1290" s="1290"/>
    </row>
    <row r="1291" ht="15">
      <c r="D1291" s="1290"/>
    </row>
    <row r="1292" ht="15">
      <c r="D1292" s="1290"/>
    </row>
    <row r="1293" ht="15">
      <c r="D1293" s="1290"/>
    </row>
    <row r="1294" ht="15">
      <c r="D1294" s="1290"/>
    </row>
    <row r="1295" ht="15">
      <c r="D1295" s="1290"/>
    </row>
    <row r="1296" ht="15">
      <c r="D1296" s="1290"/>
    </row>
    <row r="1297" ht="15">
      <c r="D1297" s="1290"/>
    </row>
    <row r="1298" ht="15">
      <c r="D1298" s="1290"/>
    </row>
    <row r="1299" ht="15">
      <c r="D1299" s="1290"/>
    </row>
    <row r="1300" ht="15">
      <c r="D1300" s="1290"/>
    </row>
    <row r="1301" ht="15">
      <c r="D1301" s="1290"/>
    </row>
    <row r="1302" ht="15">
      <c r="D1302" s="1290"/>
    </row>
    <row r="1303" ht="15">
      <c r="D1303" s="1290"/>
    </row>
    <row r="1304" ht="15">
      <c r="D1304" s="1290"/>
    </row>
    <row r="1305" ht="15">
      <c r="D1305" s="1290"/>
    </row>
    <row r="1306" ht="15">
      <c r="D1306" s="1290"/>
    </row>
    <row r="1307" ht="15">
      <c r="D1307" s="1290"/>
    </row>
    <row r="1308" ht="15">
      <c r="D1308" s="1290"/>
    </row>
    <row r="1309" ht="15">
      <c r="D1309" s="1290"/>
    </row>
    <row r="1310" ht="15">
      <c r="D1310" s="1290"/>
    </row>
    <row r="1311" ht="15">
      <c r="D1311" s="1290"/>
    </row>
    <row r="1312" ht="15">
      <c r="D1312" s="1290"/>
    </row>
    <row r="1313" ht="15">
      <c r="D1313" s="1290"/>
    </row>
    <row r="1314" ht="15">
      <c r="D1314" s="1290"/>
    </row>
    <row r="1315" ht="15">
      <c r="D1315" s="1290"/>
    </row>
    <row r="1316" ht="15">
      <c r="D1316" s="1290"/>
    </row>
    <row r="1317" ht="15">
      <c r="D1317" s="1290"/>
    </row>
    <row r="1318" ht="15">
      <c r="D1318" s="1290"/>
    </row>
    <row r="1319" ht="15">
      <c r="D1319" s="1290"/>
    </row>
    <row r="1320" ht="15">
      <c r="D1320" s="1290"/>
    </row>
    <row r="1321" ht="15">
      <c r="D1321" s="1290"/>
    </row>
    <row r="1322" ht="15">
      <c r="D1322" s="1290"/>
    </row>
    <row r="1323" ht="15">
      <c r="D1323" s="1290"/>
    </row>
    <row r="1324" ht="15">
      <c r="D1324" s="1290"/>
    </row>
    <row r="1325" ht="15">
      <c r="D1325" s="1290"/>
    </row>
    <row r="1326" ht="15">
      <c r="D1326" s="1290"/>
    </row>
    <row r="1327" ht="15">
      <c r="D1327" s="1290"/>
    </row>
    <row r="1328" ht="15">
      <c r="D1328" s="1290"/>
    </row>
    <row r="1329" ht="15">
      <c r="D1329" s="1290"/>
    </row>
    <row r="1330" ht="15">
      <c r="D1330" s="1290"/>
    </row>
    <row r="1331" ht="15">
      <c r="D1331" s="1290"/>
    </row>
    <row r="1332" ht="15">
      <c r="D1332" s="1290"/>
    </row>
    <row r="1333" ht="15">
      <c r="D1333" s="1290"/>
    </row>
    <row r="1334" ht="15">
      <c r="D1334" s="1290"/>
    </row>
    <row r="1335" ht="15">
      <c r="D1335" s="1290"/>
    </row>
    <row r="1336" ht="15">
      <c r="D1336" s="1290"/>
    </row>
    <row r="1337" ht="15">
      <c r="D1337" s="1290"/>
    </row>
    <row r="1338" ht="15">
      <c r="D1338" s="1290"/>
    </row>
    <row r="1339" ht="15">
      <c r="D1339" s="1290"/>
    </row>
    <row r="1340" ht="15">
      <c r="D1340" s="1290"/>
    </row>
    <row r="1341" ht="15">
      <c r="D1341" s="1290"/>
    </row>
    <row r="1342" ht="15">
      <c r="D1342" s="1290"/>
    </row>
    <row r="1343" ht="15">
      <c r="D1343" s="1290"/>
    </row>
    <row r="1344" ht="15">
      <c r="D1344" s="1290"/>
    </row>
    <row r="1345" ht="15">
      <c r="D1345" s="1290"/>
    </row>
    <row r="1346" ht="15">
      <c r="D1346" s="1290"/>
    </row>
    <row r="1347" ht="15">
      <c r="D1347" s="1290"/>
    </row>
    <row r="1348" ht="15">
      <c r="D1348" s="1290"/>
    </row>
    <row r="1349" ht="15">
      <c r="D1349" s="1290"/>
    </row>
    <row r="1350" ht="15">
      <c r="D1350" s="1290"/>
    </row>
    <row r="1351" ht="15">
      <c r="D1351" s="1290"/>
    </row>
    <row r="1352" ht="15">
      <c r="D1352" s="1290"/>
    </row>
    <row r="1353" ht="15">
      <c r="D1353" s="1290"/>
    </row>
    <row r="1354" ht="15">
      <c r="D1354" s="1290"/>
    </row>
    <row r="1355" ht="15">
      <c r="D1355" s="1290"/>
    </row>
    <row r="1356" ht="15">
      <c r="D1356" s="1290"/>
    </row>
    <row r="1357" ht="15">
      <c r="D1357" s="1290"/>
    </row>
    <row r="1358" ht="15">
      <c r="D1358" s="1290"/>
    </row>
    <row r="1359" ht="15">
      <c r="D1359" s="1290"/>
    </row>
    <row r="1360" ht="15">
      <c r="D1360" s="1290"/>
    </row>
    <row r="1361" ht="15">
      <c r="D1361" s="1290"/>
    </row>
    <row r="1362" ht="15">
      <c r="D1362" s="1290"/>
    </row>
    <row r="1363" ht="15">
      <c r="D1363" s="1290"/>
    </row>
    <row r="1364" ht="15">
      <c r="D1364" s="1290"/>
    </row>
    <row r="1365" ht="15">
      <c r="D1365" s="1290"/>
    </row>
    <row r="1366" ht="15">
      <c r="D1366" s="1290"/>
    </row>
    <row r="1367" ht="15">
      <c r="D1367" s="1290"/>
    </row>
    <row r="1368" ht="15">
      <c r="D1368" s="1290"/>
    </row>
    <row r="1369" ht="15">
      <c r="D1369" s="1290"/>
    </row>
    <row r="1370" ht="15">
      <c r="D1370" s="1290"/>
    </row>
    <row r="1371" ht="15">
      <c r="D1371" s="1290"/>
    </row>
    <row r="1372" ht="15">
      <c r="D1372" s="1290"/>
    </row>
    <row r="1373" ht="15">
      <c r="D1373" s="1290"/>
    </row>
    <row r="1374" ht="15">
      <c r="D1374" s="1290"/>
    </row>
    <row r="1375" ht="15">
      <c r="D1375" s="1290"/>
    </row>
    <row r="1376" ht="15">
      <c r="D1376" s="1290"/>
    </row>
    <row r="1377" ht="15">
      <c r="D1377" s="1290"/>
    </row>
    <row r="1378" ht="15">
      <c r="D1378" s="1290"/>
    </row>
    <row r="1379" ht="15">
      <c r="D1379" s="1290"/>
    </row>
    <row r="1380" ht="15">
      <c r="D1380" s="1290"/>
    </row>
    <row r="1381" ht="15">
      <c r="D1381" s="1290"/>
    </row>
    <row r="1382" ht="15">
      <c r="D1382" s="1290"/>
    </row>
    <row r="1383" ht="15">
      <c r="D1383" s="1290"/>
    </row>
    <row r="1384" ht="15">
      <c r="D1384" s="1290"/>
    </row>
    <row r="1385" ht="15">
      <c r="D1385" s="1290"/>
    </row>
    <row r="1386" ht="15">
      <c r="D1386" s="1290"/>
    </row>
    <row r="1387" ht="15">
      <c r="D1387" s="1290"/>
    </row>
    <row r="1388" ht="15">
      <c r="D1388" s="1290"/>
    </row>
    <row r="1389" ht="15">
      <c r="D1389" s="1290"/>
    </row>
    <row r="1390" ht="15">
      <c r="D1390" s="1290"/>
    </row>
    <row r="1391" ht="15">
      <c r="D1391" s="1290"/>
    </row>
    <row r="1392" ht="15">
      <c r="D1392" s="1290"/>
    </row>
    <row r="1393" ht="15">
      <c r="D1393" s="1290"/>
    </row>
    <row r="1394" ht="15">
      <c r="D1394" s="1290"/>
    </row>
    <row r="1395" ht="15">
      <c r="D1395" s="1290"/>
    </row>
    <row r="1396" ht="15">
      <c r="D1396" s="1290"/>
    </row>
    <row r="1397" ht="15">
      <c r="D1397" s="1290"/>
    </row>
    <row r="1398" ht="15">
      <c r="D1398" s="1290"/>
    </row>
    <row r="1399" ht="15">
      <c r="D1399" s="1290"/>
    </row>
    <row r="1400" ht="15">
      <c r="D1400" s="1290"/>
    </row>
    <row r="1401" ht="15">
      <c r="D1401" s="1290"/>
    </row>
    <row r="1402" ht="15">
      <c r="D1402" s="1290"/>
    </row>
    <row r="1403" ht="15">
      <c r="D1403" s="1290"/>
    </row>
    <row r="1404" ht="15">
      <c r="D1404" s="1290"/>
    </row>
    <row r="1405" ht="15">
      <c r="D1405" s="1290"/>
    </row>
    <row r="1406" ht="15">
      <c r="D1406" s="1290"/>
    </row>
    <row r="1407" ht="15">
      <c r="D1407" s="1290"/>
    </row>
    <row r="1408" ht="15">
      <c r="D1408" s="1290"/>
    </row>
    <row r="1409" ht="15">
      <c r="D1409" s="1290"/>
    </row>
    <row r="1410" ht="15">
      <c r="D1410" s="1290"/>
    </row>
    <row r="1411" ht="15">
      <c r="D1411" s="1290"/>
    </row>
    <row r="1412" ht="15">
      <c r="D1412" s="1290"/>
    </row>
    <row r="1413" ht="15">
      <c r="D1413" s="1290"/>
    </row>
    <row r="1414" ht="15">
      <c r="D1414" s="1290"/>
    </row>
    <row r="1415" ht="15">
      <c r="D1415" s="1290"/>
    </row>
    <row r="1416" ht="15">
      <c r="D1416" s="1290"/>
    </row>
    <row r="1417" ht="15">
      <c r="D1417" s="1290"/>
    </row>
    <row r="1418" ht="15">
      <c r="D1418" s="1290"/>
    </row>
    <row r="1419" ht="15">
      <c r="D1419" s="1290"/>
    </row>
    <row r="1420" ht="15">
      <c r="D1420" s="1290"/>
    </row>
    <row r="1421" ht="15">
      <c r="D1421" s="1290"/>
    </row>
    <row r="1422" ht="15">
      <c r="D1422" s="1290"/>
    </row>
    <row r="1423" ht="15">
      <c r="D1423" s="1290"/>
    </row>
    <row r="1424" ht="15">
      <c r="D1424" s="1290"/>
    </row>
    <row r="1425" ht="15">
      <c r="D1425" s="1290"/>
    </row>
    <row r="1426" ht="15">
      <c r="D1426" s="1290"/>
    </row>
    <row r="1427" ht="15">
      <c r="D1427" s="1290"/>
    </row>
    <row r="1428" ht="15">
      <c r="D1428" s="1290"/>
    </row>
    <row r="1429" ht="15">
      <c r="D1429" s="1290"/>
    </row>
    <row r="1430" ht="15">
      <c r="D1430" s="1290"/>
    </row>
    <row r="1431" ht="15">
      <c r="D1431" s="1290"/>
    </row>
    <row r="1432" ht="15">
      <c r="D1432" s="1290"/>
    </row>
    <row r="1433" ht="15">
      <c r="D1433" s="1290"/>
    </row>
    <row r="1434" ht="15">
      <c r="D1434" s="1290"/>
    </row>
    <row r="1435" ht="15">
      <c r="D1435" s="1290"/>
    </row>
    <row r="1436" ht="15">
      <c r="D1436" s="1290"/>
    </row>
    <row r="1437" ht="15">
      <c r="D1437" s="1290"/>
    </row>
    <row r="1438" ht="15">
      <c r="D1438" s="1290"/>
    </row>
    <row r="1439" ht="15">
      <c r="D1439" s="1290"/>
    </row>
    <row r="1440" ht="15">
      <c r="D1440" s="1290"/>
    </row>
    <row r="1441" ht="15">
      <c r="D1441" s="1290"/>
    </row>
    <row r="1442" ht="15">
      <c r="D1442" s="1290"/>
    </row>
    <row r="1443" ht="15">
      <c r="D1443" s="1290"/>
    </row>
    <row r="1444" ht="15">
      <c r="D1444" s="1290"/>
    </row>
    <row r="1445" ht="15">
      <c r="D1445" s="1290"/>
    </row>
    <row r="1446" ht="15">
      <c r="D1446" s="1290"/>
    </row>
    <row r="1447" ht="15">
      <c r="D1447" s="1290"/>
    </row>
    <row r="1448" ht="15">
      <c r="D1448" s="1290"/>
    </row>
    <row r="1449" ht="15">
      <c r="D1449" s="1290"/>
    </row>
    <row r="1450" ht="15">
      <c r="D1450" s="1290"/>
    </row>
    <row r="1451" ht="15">
      <c r="D1451" s="1290"/>
    </row>
    <row r="1452" ht="15">
      <c r="D1452" s="1290"/>
    </row>
    <row r="1453" ht="15">
      <c r="D1453" s="1290"/>
    </row>
    <row r="1454" ht="15">
      <c r="D1454" s="1290"/>
    </row>
    <row r="1455" ht="15">
      <c r="D1455" s="1290"/>
    </row>
    <row r="1456" ht="15">
      <c r="D1456" s="1290"/>
    </row>
    <row r="1457" ht="15">
      <c r="D1457" s="1290"/>
    </row>
    <row r="1458" ht="15">
      <c r="D1458" s="1290"/>
    </row>
    <row r="1459" ht="15">
      <c r="D1459" s="1290"/>
    </row>
    <row r="1460" ht="15">
      <c r="D1460" s="1290"/>
    </row>
    <row r="1461" ht="15">
      <c r="D1461" s="1290"/>
    </row>
    <row r="1462" ht="15">
      <c r="D1462" s="1290"/>
    </row>
    <row r="1463" ht="15">
      <c r="D1463" s="1290"/>
    </row>
    <row r="1464" ht="15">
      <c r="D1464" s="1290"/>
    </row>
    <row r="1465" ht="15">
      <c r="D1465" s="1290"/>
    </row>
    <row r="1466" ht="15">
      <c r="D1466" s="1290"/>
    </row>
    <row r="1467" ht="15">
      <c r="D1467" s="1290"/>
    </row>
    <row r="1468" ht="15">
      <c r="D1468" s="1290"/>
    </row>
    <row r="1469" ht="15">
      <c r="D1469" s="1290"/>
    </row>
    <row r="1470" ht="15">
      <c r="D1470" s="1290"/>
    </row>
    <row r="1471" ht="15">
      <c r="D1471" s="1290"/>
    </row>
    <row r="1472" ht="15">
      <c r="D1472" s="1290"/>
    </row>
    <row r="1473" ht="15">
      <c r="D1473" s="1290"/>
    </row>
    <row r="1474" ht="15">
      <c r="D1474" s="1290"/>
    </row>
    <row r="1475" ht="15">
      <c r="D1475" s="1290"/>
    </row>
    <row r="1476" ht="15">
      <c r="D1476" s="1290"/>
    </row>
    <row r="1477" ht="15">
      <c r="D1477" s="1290"/>
    </row>
    <row r="1478" ht="15">
      <c r="D1478" s="1290"/>
    </row>
    <row r="1479" ht="15">
      <c r="D1479" s="1290"/>
    </row>
    <row r="1480" ht="15">
      <c r="D1480" s="1290"/>
    </row>
    <row r="1481" ht="15">
      <c r="D1481" s="1290"/>
    </row>
    <row r="1482" ht="15">
      <c r="D1482" s="1290"/>
    </row>
    <row r="1483" ht="15">
      <c r="D1483" s="1290"/>
    </row>
    <row r="1484" ht="15">
      <c r="D1484" s="1290"/>
    </row>
    <row r="1485" ht="15">
      <c r="D1485" s="1290"/>
    </row>
    <row r="1486" ht="15">
      <c r="D1486" s="1290"/>
    </row>
    <row r="1487" ht="15">
      <c r="D1487" s="1290"/>
    </row>
    <row r="1488" ht="15">
      <c r="D1488" s="1290"/>
    </row>
    <row r="1489" ht="15">
      <c r="D1489" s="1290"/>
    </row>
    <row r="1490" ht="15">
      <c r="D1490" s="1290"/>
    </row>
    <row r="1491" ht="15">
      <c r="D1491" s="1290"/>
    </row>
    <row r="1492" ht="15">
      <c r="D1492" s="1290"/>
    </row>
    <row r="1493" ht="15">
      <c r="D1493" s="1290"/>
    </row>
    <row r="1494" ht="15">
      <c r="D1494" s="1290"/>
    </row>
    <row r="1495" ht="15">
      <c r="D1495" s="1290"/>
    </row>
    <row r="1496" ht="15">
      <c r="D1496" s="1290"/>
    </row>
    <row r="1497" ht="15">
      <c r="D1497" s="1290"/>
    </row>
    <row r="1498" ht="15">
      <c r="D1498" s="1290"/>
    </row>
    <row r="1499" ht="15">
      <c r="D1499" s="1290"/>
    </row>
    <row r="1500" ht="15">
      <c r="D1500" s="1290"/>
    </row>
    <row r="1501" ht="15">
      <c r="D1501" s="1290"/>
    </row>
    <row r="1502" ht="15">
      <c r="D1502" s="1290"/>
    </row>
    <row r="1503" ht="15">
      <c r="D1503" s="1290"/>
    </row>
    <row r="1504" ht="15">
      <c r="D1504" s="1290"/>
    </row>
    <row r="1505" ht="15">
      <c r="D1505" s="1290"/>
    </row>
    <row r="1506" ht="15">
      <c r="D1506" s="1290"/>
    </row>
    <row r="1507" ht="15">
      <c r="D1507" s="1290"/>
    </row>
    <row r="1508" ht="15">
      <c r="D1508" s="1290"/>
    </row>
    <row r="1509" ht="15">
      <c r="D1509" s="1290"/>
    </row>
    <row r="1510" ht="15">
      <c r="D1510" s="1290"/>
    </row>
    <row r="1511" ht="15">
      <c r="D1511" s="1290"/>
    </row>
    <row r="1512" ht="15">
      <c r="D1512" s="1290"/>
    </row>
    <row r="1513" ht="15">
      <c r="D1513" s="1290"/>
    </row>
    <row r="1514" ht="15">
      <c r="D1514" s="1290"/>
    </row>
    <row r="1515" ht="15">
      <c r="D1515" s="1290"/>
    </row>
    <row r="1516" ht="15">
      <c r="D1516" s="1290"/>
    </row>
    <row r="1517" ht="15">
      <c r="D1517" s="1290"/>
    </row>
    <row r="1518" ht="15">
      <c r="D1518" s="1290"/>
    </row>
    <row r="1519" ht="15">
      <c r="D1519" s="1290"/>
    </row>
    <row r="1520" ht="15">
      <c r="D1520" s="1290"/>
    </row>
    <row r="1521" ht="15">
      <c r="D1521" s="1290"/>
    </row>
    <row r="1522" ht="15">
      <c r="D1522" s="1290"/>
    </row>
    <row r="1523" ht="15">
      <c r="D1523" s="1290"/>
    </row>
    <row r="1524" ht="15">
      <c r="D1524" s="1290"/>
    </row>
    <row r="1525" ht="15">
      <c r="D1525" s="1290"/>
    </row>
    <row r="1526" ht="15">
      <c r="D1526" s="1290"/>
    </row>
    <row r="1527" ht="15">
      <c r="D1527" s="1290"/>
    </row>
    <row r="1528" ht="15">
      <c r="D1528" s="1290"/>
    </row>
    <row r="1529" ht="15">
      <c r="D1529" s="1290"/>
    </row>
    <row r="1530" ht="15">
      <c r="D1530" s="1290"/>
    </row>
    <row r="1531" ht="15">
      <c r="D1531" s="1290"/>
    </row>
    <row r="1532" ht="15">
      <c r="D1532" s="1290"/>
    </row>
    <row r="1533" ht="15">
      <c r="D1533" s="1290"/>
    </row>
    <row r="1534" ht="15">
      <c r="D1534" s="1290"/>
    </row>
    <row r="1535" ht="15">
      <c r="D1535" s="1290"/>
    </row>
    <row r="1536" ht="15">
      <c r="D1536" s="1290"/>
    </row>
    <row r="1537" ht="15">
      <c r="D1537" s="1290"/>
    </row>
    <row r="1538" ht="15">
      <c r="D1538" s="1290"/>
    </row>
    <row r="1539" ht="15">
      <c r="D1539" s="1290"/>
    </row>
    <row r="1540" ht="15">
      <c r="D1540" s="1290"/>
    </row>
    <row r="1541" ht="15">
      <c r="D1541" s="1290"/>
    </row>
    <row r="1542" ht="15">
      <c r="D1542" s="1290"/>
    </row>
    <row r="1543" ht="15">
      <c r="D1543" s="1290"/>
    </row>
    <row r="1544" ht="15">
      <c r="D1544" s="1290"/>
    </row>
    <row r="1545" ht="15">
      <c r="D1545" s="1290"/>
    </row>
    <row r="1546" ht="15">
      <c r="D1546" s="1290"/>
    </row>
    <row r="1547" ht="15">
      <c r="D1547" s="1290"/>
    </row>
    <row r="1548" ht="15">
      <c r="D1548" s="1290"/>
    </row>
    <row r="1549" ht="15">
      <c r="D1549" s="1290"/>
    </row>
    <row r="1550" ht="15">
      <c r="D1550" s="1290"/>
    </row>
    <row r="1551" ht="15">
      <c r="D1551" s="1290"/>
    </row>
    <row r="1552" ht="15">
      <c r="D1552" s="1290"/>
    </row>
    <row r="1553" ht="15">
      <c r="D1553" s="1290"/>
    </row>
    <row r="1554" ht="15">
      <c r="D1554" s="1290"/>
    </row>
    <row r="1555" ht="15">
      <c r="D1555" s="1290"/>
    </row>
    <row r="1556" ht="15">
      <c r="D1556" s="1290"/>
    </row>
    <row r="1557" ht="15">
      <c r="D1557" s="1290"/>
    </row>
    <row r="1558" ht="15">
      <c r="D1558" s="1290"/>
    </row>
    <row r="1559" ht="15">
      <c r="D1559" s="1290"/>
    </row>
    <row r="1560" ht="15">
      <c r="D1560" s="1290"/>
    </row>
    <row r="1561" ht="15">
      <c r="D1561" s="1290"/>
    </row>
    <row r="1562" ht="15">
      <c r="D1562" s="1290"/>
    </row>
    <row r="1563" ht="15">
      <c r="D1563" s="1290"/>
    </row>
    <row r="1564" ht="15">
      <c r="D1564" s="1290"/>
    </row>
    <row r="1565" ht="15">
      <c r="D1565" s="1290"/>
    </row>
    <row r="1566" ht="15">
      <c r="D1566" s="1290"/>
    </row>
    <row r="1567" ht="15">
      <c r="D1567" s="1290"/>
    </row>
    <row r="1568" ht="15">
      <c r="D1568" s="1290"/>
    </row>
    <row r="1569" ht="15">
      <c r="D1569" s="1290"/>
    </row>
    <row r="1570" ht="15">
      <c r="D1570" s="1290"/>
    </row>
    <row r="1571" ht="15">
      <c r="D1571" s="1290"/>
    </row>
    <row r="1572" ht="15">
      <c r="D1572" s="1290"/>
    </row>
    <row r="1573" ht="15">
      <c r="D1573" s="1290"/>
    </row>
    <row r="1574" ht="15">
      <c r="D1574" s="1290"/>
    </row>
    <row r="1575" ht="15">
      <c r="D1575" s="1290"/>
    </row>
    <row r="1576" ht="15">
      <c r="D1576" s="1290"/>
    </row>
    <row r="1577" ht="15">
      <c r="D1577" s="1290"/>
    </row>
    <row r="1578" ht="15">
      <c r="D1578" s="1290"/>
    </row>
    <row r="1579" ht="15">
      <c r="D1579" s="1290"/>
    </row>
    <row r="1580" ht="15">
      <c r="D1580" s="1290"/>
    </row>
    <row r="1581" ht="15">
      <c r="D1581" s="1290"/>
    </row>
    <row r="1582" ht="15">
      <c r="D1582" s="1290"/>
    </row>
    <row r="1583" ht="15">
      <c r="D1583" s="1290"/>
    </row>
    <row r="1584" ht="15">
      <c r="D1584" s="1290"/>
    </row>
    <row r="1585" ht="15">
      <c r="D1585" s="1290"/>
    </row>
    <row r="1586" ht="15">
      <c r="D1586" s="1290"/>
    </row>
    <row r="1587" ht="15">
      <c r="D1587" s="1290"/>
    </row>
    <row r="1588" ht="15">
      <c r="D1588" s="1290"/>
    </row>
    <row r="1589" ht="15">
      <c r="D1589" s="1290"/>
    </row>
    <row r="1590" ht="15">
      <c r="D1590" s="1290"/>
    </row>
    <row r="1591" ht="15">
      <c r="D1591" s="1290"/>
    </row>
    <row r="1592" ht="15">
      <c r="D1592" s="1290"/>
    </row>
    <row r="1593" ht="15">
      <c r="D1593" s="1290"/>
    </row>
    <row r="1594" ht="15">
      <c r="D1594" s="1290"/>
    </row>
    <row r="1595" ht="15">
      <c r="D1595" s="1290"/>
    </row>
    <row r="1596" ht="15">
      <c r="D1596" s="1290"/>
    </row>
    <row r="1597" ht="15">
      <c r="D1597" s="1290"/>
    </row>
    <row r="1598" ht="15">
      <c r="D1598" s="1290"/>
    </row>
    <row r="1599" ht="15">
      <c r="D1599" s="1290"/>
    </row>
    <row r="1600" ht="15">
      <c r="D1600" s="1290"/>
    </row>
    <row r="1601" ht="15">
      <c r="D1601" s="1290"/>
    </row>
    <row r="1602" ht="15">
      <c r="D1602" s="1290"/>
    </row>
    <row r="1603" ht="15">
      <c r="D1603" s="1290"/>
    </row>
    <row r="1604" ht="15">
      <c r="D1604" s="1290"/>
    </row>
    <row r="1605" ht="15">
      <c r="D1605" s="1290"/>
    </row>
    <row r="1606" ht="15">
      <c r="D1606" s="1290"/>
    </row>
    <row r="1607" ht="15">
      <c r="D1607" s="1290"/>
    </row>
    <row r="1608" ht="15">
      <c r="D1608" s="1290"/>
    </row>
    <row r="1609" ht="15">
      <c r="D1609" s="1290"/>
    </row>
    <row r="1610" ht="15">
      <c r="D1610" s="1290"/>
    </row>
    <row r="1611" ht="15">
      <c r="D1611" s="1290"/>
    </row>
    <row r="1612" ht="15">
      <c r="D1612" s="1290"/>
    </row>
    <row r="1613" ht="15">
      <c r="D1613" s="1290"/>
    </row>
    <row r="1614" ht="15">
      <c r="D1614" s="1290"/>
    </row>
    <row r="1615" ht="15">
      <c r="D1615" s="1290"/>
    </row>
    <row r="1616" ht="15">
      <c r="D1616" s="1290"/>
    </row>
    <row r="1617" ht="15">
      <c r="D1617" s="1290"/>
    </row>
    <row r="1618" ht="15">
      <c r="D1618" s="1290"/>
    </row>
    <row r="1619" ht="15">
      <c r="D1619" s="1290"/>
    </row>
    <row r="1620" ht="15">
      <c r="D1620" s="1290"/>
    </row>
    <row r="1621" ht="15">
      <c r="D1621" s="1290"/>
    </row>
    <row r="1622" ht="15">
      <c r="D1622" s="1290"/>
    </row>
    <row r="1623" ht="15">
      <c r="D1623" s="1290"/>
    </row>
    <row r="1624" ht="15">
      <c r="D1624" s="1290"/>
    </row>
    <row r="1625" ht="15">
      <c r="D1625" s="1290"/>
    </row>
    <row r="1626" ht="15">
      <c r="D1626" s="1290"/>
    </row>
    <row r="1627" ht="15">
      <c r="D1627" s="1290"/>
    </row>
    <row r="1628" ht="15">
      <c r="D1628" s="1290"/>
    </row>
    <row r="1629" ht="15">
      <c r="D1629" s="1290"/>
    </row>
    <row r="1630" ht="15">
      <c r="D1630" s="1290"/>
    </row>
    <row r="1631" ht="15">
      <c r="D1631" s="1290"/>
    </row>
    <row r="1632" ht="15">
      <c r="D1632" s="1290"/>
    </row>
    <row r="1633" ht="15">
      <c r="D1633" s="1290"/>
    </row>
    <row r="1634" ht="15">
      <c r="D1634" s="1290"/>
    </row>
    <row r="1635" ht="15">
      <c r="D1635" s="1290"/>
    </row>
    <row r="1636" ht="15">
      <c r="D1636" s="1290"/>
    </row>
    <row r="1637" ht="15">
      <c r="D1637" s="1290"/>
    </row>
    <row r="1638" ht="15">
      <c r="D1638" s="1290"/>
    </row>
    <row r="1639" ht="15">
      <c r="D1639" s="1290"/>
    </row>
    <row r="1640" ht="15">
      <c r="D1640" s="1290"/>
    </row>
    <row r="1641" ht="15">
      <c r="D1641" s="1290"/>
    </row>
    <row r="1642" ht="15">
      <c r="D1642" s="1290"/>
    </row>
    <row r="1643" ht="15">
      <c r="D1643" s="1290"/>
    </row>
    <row r="1644" ht="15">
      <c r="D1644" s="1290"/>
    </row>
    <row r="1645" ht="15">
      <c r="D1645" s="1290"/>
    </row>
    <row r="1646" ht="15">
      <c r="D1646" s="1290"/>
    </row>
    <row r="1647" ht="15">
      <c r="D1647" s="1290"/>
    </row>
    <row r="1648" ht="15">
      <c r="D1648" s="1290"/>
    </row>
    <row r="1649" ht="15">
      <c r="D1649" s="1290"/>
    </row>
    <row r="1650" ht="15">
      <c r="D1650" s="1290"/>
    </row>
    <row r="1651" ht="15">
      <c r="D1651" s="1290"/>
    </row>
    <row r="1652" ht="15">
      <c r="D1652" s="1290"/>
    </row>
    <row r="1653" ht="15">
      <c r="D1653" s="1290"/>
    </row>
    <row r="1654" ht="15">
      <c r="D1654" s="1290"/>
    </row>
    <row r="1655" ht="15">
      <c r="D1655" s="1290"/>
    </row>
    <row r="1656" ht="15">
      <c r="D1656" s="1290"/>
    </row>
    <row r="1657" ht="15">
      <c r="D1657" s="1290"/>
    </row>
    <row r="1658" ht="15">
      <c r="D1658" s="1290"/>
    </row>
    <row r="1659" ht="15">
      <c r="D1659" s="1290"/>
    </row>
    <row r="1660" ht="15">
      <c r="D1660" s="1290"/>
    </row>
    <row r="1661" ht="15">
      <c r="D1661" s="1290"/>
    </row>
    <row r="1662" ht="15">
      <c r="D1662" s="1290"/>
    </row>
    <row r="1663" ht="15">
      <c r="D1663" s="1290"/>
    </row>
    <row r="1664" ht="15">
      <c r="D1664" s="1290"/>
    </row>
    <row r="1665" ht="15">
      <c r="D1665" s="1290"/>
    </row>
    <row r="1666" ht="15">
      <c r="D1666" s="1290"/>
    </row>
    <row r="1667" ht="15">
      <c r="D1667" s="1290"/>
    </row>
    <row r="1668" ht="15">
      <c r="D1668" s="1290"/>
    </row>
    <row r="1669" ht="15">
      <c r="D1669" s="1290"/>
    </row>
    <row r="1670" ht="15">
      <c r="D1670" s="1290"/>
    </row>
    <row r="1671" ht="15">
      <c r="D1671" s="1290"/>
    </row>
    <row r="1672" ht="15">
      <c r="D1672" s="1290"/>
    </row>
    <row r="1673" ht="15">
      <c r="D1673" s="1290"/>
    </row>
    <row r="1674" ht="15">
      <c r="D1674" s="1290"/>
    </row>
    <row r="1675" ht="15">
      <c r="D1675" s="1290"/>
    </row>
    <row r="1676" ht="15">
      <c r="D1676" s="1290"/>
    </row>
    <row r="1677" ht="15">
      <c r="D1677" s="1290"/>
    </row>
    <row r="1678" ht="15">
      <c r="D1678" s="1290"/>
    </row>
    <row r="1679" ht="15">
      <c r="D1679" s="1290"/>
    </row>
    <row r="1680" ht="15">
      <c r="D1680" s="1290"/>
    </row>
    <row r="1681" ht="15">
      <c r="D1681" s="1290"/>
    </row>
    <row r="1682" ht="15">
      <c r="D1682" s="1290"/>
    </row>
    <row r="1683" ht="15">
      <c r="D1683" s="1290"/>
    </row>
    <row r="1684" ht="15">
      <c r="D1684" s="1290"/>
    </row>
    <row r="1685" ht="15">
      <c r="D1685" s="1290"/>
    </row>
    <row r="1686" ht="15">
      <c r="D1686" s="1290"/>
    </row>
    <row r="1687" ht="15">
      <c r="D1687" s="1290"/>
    </row>
    <row r="1688" ht="15">
      <c r="D1688" s="1290"/>
    </row>
    <row r="1689" ht="15">
      <c r="D1689" s="1290"/>
    </row>
    <row r="1690" ht="15">
      <c r="D1690" s="1290"/>
    </row>
    <row r="1691" ht="15">
      <c r="D1691" s="1290"/>
    </row>
    <row r="1692" ht="15">
      <c r="D1692" s="1290"/>
    </row>
    <row r="1693" ht="15">
      <c r="D1693" s="1290"/>
    </row>
    <row r="1694" ht="15">
      <c r="D1694" s="1290"/>
    </row>
    <row r="1695" ht="15">
      <c r="D1695" s="1290"/>
    </row>
    <row r="1696" ht="15">
      <c r="D1696" s="1290"/>
    </row>
    <row r="1697" ht="15">
      <c r="D1697" s="1290"/>
    </row>
    <row r="1698" ht="15">
      <c r="D1698" s="1290"/>
    </row>
    <row r="1699" ht="15">
      <c r="D1699" s="1290"/>
    </row>
    <row r="1700" ht="15">
      <c r="D1700" s="1290"/>
    </row>
    <row r="1701" ht="15">
      <c r="D1701" s="1290"/>
    </row>
    <row r="1702" ht="15">
      <c r="D1702" s="1290"/>
    </row>
    <row r="1703" ht="15">
      <c r="D1703" s="1290"/>
    </row>
    <row r="1704" ht="15">
      <c r="D1704" s="1290"/>
    </row>
    <row r="1705" ht="15">
      <c r="D1705" s="1290"/>
    </row>
    <row r="1706" ht="15">
      <c r="D1706" s="1290"/>
    </row>
    <row r="1707" ht="15">
      <c r="D1707" s="1290"/>
    </row>
    <row r="1708" ht="15">
      <c r="D1708" s="1290"/>
    </row>
    <row r="1709" ht="15">
      <c r="D1709" s="1290"/>
    </row>
    <row r="1710" ht="15">
      <c r="D1710" s="1290"/>
    </row>
    <row r="1711" ht="15">
      <c r="D1711" s="1290"/>
    </row>
    <row r="1712" ht="15">
      <c r="D1712" s="1290"/>
    </row>
    <row r="1713" ht="15">
      <c r="D1713" s="1290"/>
    </row>
    <row r="1714" ht="15">
      <c r="D1714" s="1290"/>
    </row>
    <row r="1715" ht="15">
      <c r="D1715" s="1290"/>
    </row>
    <row r="1716" ht="15">
      <c r="D1716" s="1290"/>
    </row>
    <row r="1717" ht="15">
      <c r="D1717" s="1290"/>
    </row>
    <row r="1718" ht="15">
      <c r="D1718" s="1290"/>
    </row>
    <row r="1719" ht="15">
      <c r="D1719" s="1290"/>
    </row>
    <row r="1720" ht="15">
      <c r="D1720" s="1290"/>
    </row>
    <row r="1721" ht="15">
      <c r="D1721" s="1290"/>
    </row>
    <row r="1722" ht="15">
      <c r="D1722" s="1290"/>
    </row>
    <row r="1723" ht="15">
      <c r="D1723" s="1290"/>
    </row>
    <row r="1724" ht="15">
      <c r="D1724" s="1290"/>
    </row>
    <row r="1725" ht="15">
      <c r="D1725" s="1290"/>
    </row>
    <row r="1726" ht="15">
      <c r="D1726" s="1290"/>
    </row>
    <row r="1727" ht="15">
      <c r="D1727" s="1290"/>
    </row>
    <row r="1728" ht="15">
      <c r="D1728" s="1290"/>
    </row>
    <row r="1729" ht="15">
      <c r="D1729" s="1290"/>
    </row>
    <row r="1730" ht="15">
      <c r="D1730" s="1290"/>
    </row>
    <row r="1731" ht="15">
      <c r="D1731" s="1290"/>
    </row>
    <row r="1732" ht="15">
      <c r="D1732" s="1290"/>
    </row>
    <row r="1733" ht="15">
      <c r="D1733" s="1290"/>
    </row>
    <row r="1734" ht="15">
      <c r="D1734" s="1290"/>
    </row>
    <row r="1735" ht="15">
      <c r="D1735" s="1290"/>
    </row>
    <row r="1736" ht="15">
      <c r="D1736" s="1290"/>
    </row>
    <row r="1737" ht="15">
      <c r="D1737" s="1290"/>
    </row>
    <row r="1738" ht="15">
      <c r="D1738" s="1290"/>
    </row>
    <row r="1739" ht="15">
      <c r="D1739" s="1290"/>
    </row>
    <row r="1740" ht="15">
      <c r="D1740" s="1290"/>
    </row>
    <row r="1741" ht="15">
      <c r="D1741" s="1290"/>
    </row>
    <row r="1742" ht="15">
      <c r="D1742" s="1290"/>
    </row>
    <row r="1743" ht="15">
      <c r="D1743" s="1290"/>
    </row>
    <row r="1744" ht="15">
      <c r="D1744" s="1290"/>
    </row>
    <row r="1745" ht="15">
      <c r="D1745" s="1290"/>
    </row>
    <row r="1746" ht="15">
      <c r="D1746" s="1290"/>
    </row>
    <row r="1747" ht="15">
      <c r="D1747" s="1290"/>
    </row>
    <row r="1748" ht="15">
      <c r="D1748" s="1290"/>
    </row>
    <row r="1749" ht="15">
      <c r="D1749" s="1290"/>
    </row>
    <row r="1750" ht="15">
      <c r="D1750" s="1290"/>
    </row>
    <row r="1751" ht="15">
      <c r="D1751" s="1290"/>
    </row>
    <row r="1752" ht="15">
      <c r="D1752" s="1290"/>
    </row>
    <row r="1753" ht="15">
      <c r="D1753" s="1290"/>
    </row>
    <row r="1754" ht="15">
      <c r="D1754" s="1290"/>
    </row>
    <row r="1755" ht="15">
      <c r="D1755" s="1290"/>
    </row>
    <row r="1756" ht="15">
      <c r="D1756" s="1290"/>
    </row>
    <row r="1757" ht="15">
      <c r="D1757" s="1290"/>
    </row>
    <row r="1758" ht="15">
      <c r="D1758" s="1290"/>
    </row>
    <row r="1759" ht="15">
      <c r="D1759" s="1290"/>
    </row>
    <row r="1760" ht="15">
      <c r="D1760" s="1290"/>
    </row>
    <row r="1761" ht="15">
      <c r="D1761" s="1290"/>
    </row>
    <row r="1762" ht="15">
      <c r="D1762" s="1290"/>
    </row>
    <row r="1763" ht="15">
      <c r="D1763" s="1290"/>
    </row>
    <row r="1764" ht="15">
      <c r="D1764" s="1290"/>
    </row>
    <row r="1765" ht="15">
      <c r="D1765" s="1290"/>
    </row>
    <row r="1766" ht="15">
      <c r="D1766" s="1290"/>
    </row>
    <row r="1767" ht="15">
      <c r="D1767" s="1290"/>
    </row>
    <row r="1768" ht="15">
      <c r="D1768" s="1290"/>
    </row>
    <row r="1769" ht="15">
      <c r="D1769" s="1290"/>
    </row>
    <row r="1770" ht="15">
      <c r="D1770" s="1290"/>
    </row>
    <row r="1771" ht="15">
      <c r="D1771" s="1290"/>
    </row>
    <row r="1772" ht="15">
      <c r="D1772" s="1290"/>
    </row>
    <row r="1773" ht="15">
      <c r="D1773" s="1290"/>
    </row>
    <row r="1774" ht="15">
      <c r="D1774" s="1290"/>
    </row>
    <row r="1775" ht="15">
      <c r="D1775" s="1290"/>
    </row>
    <row r="1776" ht="15">
      <c r="D1776" s="1290"/>
    </row>
    <row r="1777" ht="15">
      <c r="D1777" s="1290"/>
    </row>
    <row r="1778" ht="15">
      <c r="D1778" s="1290"/>
    </row>
    <row r="1779" ht="15">
      <c r="D1779" s="1290"/>
    </row>
    <row r="1780" ht="15">
      <c r="D1780" s="1290"/>
    </row>
    <row r="1781" ht="15">
      <c r="D1781" s="1290"/>
    </row>
    <row r="1782" ht="15">
      <c r="D1782" s="1290"/>
    </row>
    <row r="1783" ht="15">
      <c r="D1783" s="1290"/>
    </row>
    <row r="1784" ht="15">
      <c r="D1784" s="1290"/>
    </row>
    <row r="1785" ht="15">
      <c r="D1785" s="1290"/>
    </row>
    <row r="1786" ht="15">
      <c r="D1786" s="1290"/>
    </row>
    <row r="1787" ht="15">
      <c r="D1787" s="1290"/>
    </row>
    <row r="1788" ht="15">
      <c r="D1788" s="1290"/>
    </row>
    <row r="1789" ht="15">
      <c r="D1789" s="1290"/>
    </row>
    <row r="1790" ht="15">
      <c r="D1790" s="1290"/>
    </row>
    <row r="1791" ht="15">
      <c r="D1791" s="1290"/>
    </row>
    <row r="1792" ht="15">
      <c r="D1792" s="1290"/>
    </row>
    <row r="1793" ht="15">
      <c r="D1793" s="1290"/>
    </row>
    <row r="1794" ht="15">
      <c r="D1794" s="1290"/>
    </row>
    <row r="1795" ht="15">
      <c r="D1795" s="1290"/>
    </row>
    <row r="1796" ht="15">
      <c r="D1796" s="1290"/>
    </row>
    <row r="1797" ht="15">
      <c r="D1797" s="1290"/>
    </row>
    <row r="1798" ht="15">
      <c r="D1798" s="1290"/>
    </row>
    <row r="1799" ht="15">
      <c r="D1799" s="1290"/>
    </row>
    <row r="1800" ht="15">
      <c r="D1800" s="1290"/>
    </row>
    <row r="1801" ht="15">
      <c r="D1801" s="1290"/>
    </row>
    <row r="1802" ht="15">
      <c r="D1802" s="1290"/>
    </row>
    <row r="1803" ht="15">
      <c r="D1803" s="1290"/>
    </row>
    <row r="1804" ht="15">
      <c r="D1804" s="1290"/>
    </row>
    <row r="1805" ht="15">
      <c r="D1805" s="1290"/>
    </row>
    <row r="1806" ht="15">
      <c r="D1806" s="1290"/>
    </row>
    <row r="1807" ht="15">
      <c r="D1807" s="1290"/>
    </row>
    <row r="1808" ht="15">
      <c r="D1808" s="1290"/>
    </row>
    <row r="1809" ht="15">
      <c r="D1809" s="1290"/>
    </row>
    <row r="1810" ht="15">
      <c r="D1810" s="1290"/>
    </row>
    <row r="1811" ht="15">
      <c r="D1811" s="1290"/>
    </row>
    <row r="1812" ht="15">
      <c r="D1812" s="1290"/>
    </row>
    <row r="1813" ht="15">
      <c r="D1813" s="1290"/>
    </row>
    <row r="1814" ht="15">
      <c r="D1814" s="1290"/>
    </row>
    <row r="1815" ht="15">
      <c r="D1815" s="1290"/>
    </row>
    <row r="1816" ht="15">
      <c r="D1816" s="1290"/>
    </row>
    <row r="1817" ht="15">
      <c r="D1817" s="1290"/>
    </row>
    <row r="1818" ht="15">
      <c r="D1818" s="1290"/>
    </row>
    <row r="1819" ht="15">
      <c r="D1819" s="1290"/>
    </row>
    <row r="1820" ht="15">
      <c r="D1820" s="1290"/>
    </row>
    <row r="1821" ht="15">
      <c r="D1821" s="1290"/>
    </row>
    <row r="1822" ht="15">
      <c r="D1822" s="1290"/>
    </row>
    <row r="1823" ht="15">
      <c r="D1823" s="1290"/>
    </row>
    <row r="1824" ht="15">
      <c r="D1824" s="1290"/>
    </row>
    <row r="1825" ht="15">
      <c r="D1825" s="1290"/>
    </row>
    <row r="1826" ht="15">
      <c r="D1826" s="1290"/>
    </row>
    <row r="1827" ht="15">
      <c r="D1827" s="1290"/>
    </row>
    <row r="1828" ht="15">
      <c r="D1828" s="1290"/>
    </row>
    <row r="1829" ht="15">
      <c r="D1829" s="1290"/>
    </row>
    <row r="1830" ht="15">
      <c r="D1830" s="1290"/>
    </row>
    <row r="1831" ht="15">
      <c r="D1831" s="1290"/>
    </row>
    <row r="1832" ht="15">
      <c r="D1832" s="1290"/>
    </row>
    <row r="1833" ht="15">
      <c r="D1833" s="1290"/>
    </row>
    <row r="1834" ht="15">
      <c r="D1834" s="1290"/>
    </row>
    <row r="1835" ht="15">
      <c r="D1835" s="1290"/>
    </row>
    <row r="1836" ht="15">
      <c r="D1836" s="1290"/>
    </row>
    <row r="1837" ht="15">
      <c r="D1837" s="1290"/>
    </row>
    <row r="1838" ht="15">
      <c r="D1838" s="1290"/>
    </row>
    <row r="1839" ht="15">
      <c r="D1839" s="1290"/>
    </row>
    <row r="1840" ht="15">
      <c r="D1840" s="1290"/>
    </row>
    <row r="1841" ht="15">
      <c r="D1841" s="1290"/>
    </row>
    <row r="1842" ht="15">
      <c r="D1842" s="1290"/>
    </row>
    <row r="1843" ht="15">
      <c r="D1843" s="1290"/>
    </row>
    <row r="1844" ht="15">
      <c r="D1844" s="1290"/>
    </row>
    <row r="1845" ht="15">
      <c r="D1845" s="1290"/>
    </row>
    <row r="1846" ht="15">
      <c r="D1846" s="1290"/>
    </row>
    <row r="1847" ht="15">
      <c r="D1847" s="1290"/>
    </row>
    <row r="1848" ht="15">
      <c r="D1848" s="1290"/>
    </row>
    <row r="1849" ht="15">
      <c r="D1849" s="1290"/>
    </row>
    <row r="1850" ht="15">
      <c r="D1850" s="1290"/>
    </row>
    <row r="1851" ht="15">
      <c r="D1851" s="1290"/>
    </row>
    <row r="1852" ht="15">
      <c r="D1852" s="1290"/>
    </row>
    <row r="1853" ht="15">
      <c r="D1853" s="1290"/>
    </row>
    <row r="1854" ht="15">
      <c r="D1854" s="1290"/>
    </row>
    <row r="1855" ht="15">
      <c r="D1855" s="1290"/>
    </row>
    <row r="1856" ht="15">
      <c r="D1856" s="1290"/>
    </row>
    <row r="1857" ht="15">
      <c r="D1857" s="1290"/>
    </row>
    <row r="1858" ht="15">
      <c r="D1858" s="1290"/>
    </row>
    <row r="1859" ht="15">
      <c r="D1859" s="1290"/>
    </row>
    <row r="1860" ht="15">
      <c r="D1860" s="1290"/>
    </row>
    <row r="1861" ht="15">
      <c r="D1861" s="1290"/>
    </row>
    <row r="1862" ht="15">
      <c r="D1862" s="1290"/>
    </row>
    <row r="1863" ht="15">
      <c r="D1863" s="1290"/>
    </row>
    <row r="1864" ht="15">
      <c r="D1864" s="1290"/>
    </row>
    <row r="1865" ht="15">
      <c r="D1865" s="1290"/>
    </row>
    <row r="1866" ht="15">
      <c r="D1866" s="1290"/>
    </row>
    <row r="1867" ht="15">
      <c r="D1867" s="1290"/>
    </row>
    <row r="1868" ht="15">
      <c r="D1868" s="1290"/>
    </row>
    <row r="1869" ht="15">
      <c r="D1869" s="1290"/>
    </row>
    <row r="1870" ht="15">
      <c r="D1870" s="1290"/>
    </row>
    <row r="1871" ht="15">
      <c r="D1871" s="1290"/>
    </row>
    <row r="1872" ht="15">
      <c r="D1872" s="1290"/>
    </row>
    <row r="1873" ht="15">
      <c r="D1873" s="1290"/>
    </row>
    <row r="1874" ht="15">
      <c r="D1874" s="1290"/>
    </row>
    <row r="1875" ht="15">
      <c r="D1875" s="1290"/>
    </row>
    <row r="1876" ht="15">
      <c r="D1876" s="1290"/>
    </row>
    <row r="1877" ht="15">
      <c r="D1877" s="1290"/>
    </row>
    <row r="1878" ht="15">
      <c r="D1878" s="1290"/>
    </row>
    <row r="1879" ht="15">
      <c r="D1879" s="1290"/>
    </row>
    <row r="1880" ht="15">
      <c r="D1880" s="1290"/>
    </row>
    <row r="1881" ht="15">
      <c r="D1881" s="1290"/>
    </row>
    <row r="1882" ht="15">
      <c r="D1882" s="1290"/>
    </row>
    <row r="1883" ht="15">
      <c r="D1883" s="1290"/>
    </row>
    <row r="1884" ht="15">
      <c r="D1884" s="1290"/>
    </row>
    <row r="1885" ht="15">
      <c r="D1885" s="1290"/>
    </row>
    <row r="1886" ht="15">
      <c r="D1886" s="1290"/>
    </row>
    <row r="1887" ht="15">
      <c r="D1887" s="1290"/>
    </row>
    <row r="1888" ht="15">
      <c r="D1888" s="1290"/>
    </row>
    <row r="1889" ht="15">
      <c r="D1889" s="1290"/>
    </row>
    <row r="1890" ht="15">
      <c r="D1890" s="1290"/>
    </row>
    <row r="1891" ht="15">
      <c r="D1891" s="1290"/>
    </row>
    <row r="1892" ht="15">
      <c r="D1892" s="1290"/>
    </row>
    <row r="1893" ht="15">
      <c r="D1893" s="1290"/>
    </row>
    <row r="1894" ht="15">
      <c r="D1894" s="1290"/>
    </row>
    <row r="1895" ht="15">
      <c r="D1895" s="1290"/>
    </row>
    <row r="1896" ht="15">
      <c r="D1896" s="1290"/>
    </row>
    <row r="1897" ht="15">
      <c r="D1897" s="1290"/>
    </row>
    <row r="1898" ht="15">
      <c r="D1898" s="1290"/>
    </row>
    <row r="1899" ht="15">
      <c r="D1899" s="1290"/>
    </row>
    <row r="1900" ht="15">
      <c r="D1900" s="1290"/>
    </row>
    <row r="1901" ht="15">
      <c r="D1901" s="1290"/>
    </row>
    <row r="1902" ht="15">
      <c r="D1902" s="1290"/>
    </row>
    <row r="1903" ht="15">
      <c r="D1903" s="1290"/>
    </row>
    <row r="1904" ht="15">
      <c r="D1904" s="1290"/>
    </row>
    <row r="1905" ht="15">
      <c r="D1905" s="1290"/>
    </row>
    <row r="1906" ht="15">
      <c r="D1906" s="1290"/>
    </row>
    <row r="1907" ht="15">
      <c r="D1907" s="1290"/>
    </row>
    <row r="1908" ht="15">
      <c r="D1908" s="1290"/>
    </row>
    <row r="1909" ht="15">
      <c r="D1909" s="1290"/>
    </row>
    <row r="1910" ht="15">
      <c r="D1910" s="1290"/>
    </row>
    <row r="1911" ht="15">
      <c r="D1911" s="1290"/>
    </row>
    <row r="1912" ht="15">
      <c r="D1912" s="1290"/>
    </row>
    <row r="1913" ht="15">
      <c r="D1913" s="1290"/>
    </row>
    <row r="1914" ht="15">
      <c r="D1914" s="1290"/>
    </row>
    <row r="1915" ht="15">
      <c r="D1915" s="1290"/>
    </row>
    <row r="1916" ht="15">
      <c r="D1916" s="1290"/>
    </row>
    <row r="1917" ht="15">
      <c r="D1917" s="1290"/>
    </row>
    <row r="1918" ht="15">
      <c r="D1918" s="1290"/>
    </row>
    <row r="1919" ht="15">
      <c r="D1919" s="1290"/>
    </row>
    <row r="1920" ht="15">
      <c r="D1920" s="1290"/>
    </row>
    <row r="1921" ht="15">
      <c r="D1921" s="1290"/>
    </row>
    <row r="1922" ht="15">
      <c r="D1922" s="1290"/>
    </row>
    <row r="1923" ht="15">
      <c r="D1923" s="1290"/>
    </row>
    <row r="1924" ht="15">
      <c r="D1924" s="1290"/>
    </row>
    <row r="1925" ht="15">
      <c r="D1925" s="1290"/>
    </row>
    <row r="1926" ht="15">
      <c r="D1926" s="1290"/>
    </row>
    <row r="1927" ht="15">
      <c r="D1927" s="1290"/>
    </row>
    <row r="1928" ht="15">
      <c r="D1928" s="1290"/>
    </row>
    <row r="1929" ht="15">
      <c r="D1929" s="1290"/>
    </row>
    <row r="1930" ht="15">
      <c r="D1930" s="1290"/>
    </row>
    <row r="1931" ht="15">
      <c r="D1931" s="1290"/>
    </row>
    <row r="1932" ht="15">
      <c r="D1932" s="1290"/>
    </row>
    <row r="1933" ht="15">
      <c r="D1933" s="1290"/>
    </row>
    <row r="1934" ht="15">
      <c r="D1934" s="1290"/>
    </row>
    <row r="1935" ht="15">
      <c r="D1935" s="1290"/>
    </row>
    <row r="1936" ht="15">
      <c r="D1936" s="1290"/>
    </row>
    <row r="1937" ht="15">
      <c r="D1937" s="1290"/>
    </row>
    <row r="1938" ht="15">
      <c r="D1938" s="1290"/>
    </row>
    <row r="1939" ht="15">
      <c r="D1939" s="1290"/>
    </row>
    <row r="1940" ht="15">
      <c r="D1940" s="1290"/>
    </row>
    <row r="1941" ht="15">
      <c r="D1941" s="1290"/>
    </row>
    <row r="1942" ht="15">
      <c r="D1942" s="1290"/>
    </row>
    <row r="1943" ht="15">
      <c r="D1943" s="1290"/>
    </row>
    <row r="1944" ht="15">
      <c r="D1944" s="1290"/>
    </row>
    <row r="1945" ht="15">
      <c r="D1945" s="1290"/>
    </row>
    <row r="1946" ht="15">
      <c r="D1946" s="1290"/>
    </row>
    <row r="1947" ht="15">
      <c r="D1947" s="1290"/>
    </row>
    <row r="1948" ht="15">
      <c r="D1948" s="1290"/>
    </row>
    <row r="1949" ht="15">
      <c r="D1949" s="1290"/>
    </row>
    <row r="1950" ht="15">
      <c r="D1950" s="1290"/>
    </row>
    <row r="1951" ht="15">
      <c r="D1951" s="1290"/>
    </row>
    <row r="1952" ht="15">
      <c r="D1952" s="1290"/>
    </row>
    <row r="1953" ht="15">
      <c r="D1953" s="1290"/>
    </row>
    <row r="1954" ht="15">
      <c r="D1954" s="1290"/>
    </row>
    <row r="1955" ht="15">
      <c r="D1955" s="1290"/>
    </row>
    <row r="1956" ht="15">
      <c r="D1956" s="1290"/>
    </row>
    <row r="1957" ht="15">
      <c r="D1957" s="1290"/>
    </row>
    <row r="1958" ht="15">
      <c r="D1958" s="1290"/>
    </row>
    <row r="1959" ht="15">
      <c r="D1959" s="1290"/>
    </row>
    <row r="1960" ht="15">
      <c r="D1960" s="1290"/>
    </row>
    <row r="1961" ht="15">
      <c r="D1961" s="1290"/>
    </row>
    <row r="1962" ht="15">
      <c r="D1962" s="1290"/>
    </row>
    <row r="1963" ht="15">
      <c r="D1963" s="1290"/>
    </row>
    <row r="1964" ht="15">
      <c r="D1964" s="1290"/>
    </row>
    <row r="1965" ht="15">
      <c r="D1965" s="1290"/>
    </row>
    <row r="1966" ht="15">
      <c r="D1966" s="1290"/>
    </row>
    <row r="1967" ht="15">
      <c r="D1967" s="1290"/>
    </row>
    <row r="1968" ht="15">
      <c r="D1968" s="1290"/>
    </row>
    <row r="1969" ht="15">
      <c r="D1969" s="1290"/>
    </row>
    <row r="1970" ht="15">
      <c r="D1970" s="1290"/>
    </row>
    <row r="1971" ht="15">
      <c r="D1971" s="1290"/>
    </row>
    <row r="1972" ht="15">
      <c r="D1972" s="1290"/>
    </row>
    <row r="1973" ht="15">
      <c r="D1973" s="1290"/>
    </row>
    <row r="1974" ht="15">
      <c r="D1974" s="1290"/>
    </row>
    <row r="1975" ht="15">
      <c r="D1975" s="1290"/>
    </row>
    <row r="1976" ht="15">
      <c r="D1976" s="1290"/>
    </row>
    <row r="1977" ht="15">
      <c r="D1977" s="1290"/>
    </row>
    <row r="1978" ht="15">
      <c r="D1978" s="1290"/>
    </row>
    <row r="1979" ht="15">
      <c r="D1979" s="1290"/>
    </row>
    <row r="1980" ht="15">
      <c r="D1980" s="1290"/>
    </row>
    <row r="1981" ht="15">
      <c r="D1981" s="1290"/>
    </row>
    <row r="1982" ht="15">
      <c r="D1982" s="1290"/>
    </row>
    <row r="1983" ht="15">
      <c r="D1983" s="1290"/>
    </row>
    <row r="1984" ht="15">
      <c r="D1984" s="1290"/>
    </row>
    <row r="1985" ht="15">
      <c r="D1985" s="1290"/>
    </row>
    <row r="1986" ht="15">
      <c r="D1986" s="1290"/>
    </row>
    <row r="1987" ht="15">
      <c r="D1987" s="1290"/>
    </row>
    <row r="1988" ht="15">
      <c r="D1988" s="1290"/>
    </row>
    <row r="1989" ht="15">
      <c r="D1989" s="1290"/>
    </row>
    <row r="1990" ht="15">
      <c r="D1990" s="1290"/>
    </row>
    <row r="1991" ht="15">
      <c r="D1991" s="1290"/>
    </row>
    <row r="1992" ht="15">
      <c r="D1992" s="1290"/>
    </row>
    <row r="1993" ht="15">
      <c r="D1993" s="1290"/>
    </row>
    <row r="1994" ht="15">
      <c r="D1994" s="1290"/>
    </row>
    <row r="1995" ht="15">
      <c r="D1995" s="1290"/>
    </row>
    <row r="1996" ht="15">
      <c r="D1996" s="1290"/>
    </row>
    <row r="1997" ht="15">
      <c r="D1997" s="1290"/>
    </row>
    <row r="1998" ht="15">
      <c r="D1998" s="1290"/>
    </row>
    <row r="1999" ht="15">
      <c r="D1999" s="1290"/>
    </row>
    <row r="2000" ht="15">
      <c r="D2000" s="1290"/>
    </row>
    <row r="2001" ht="15">
      <c r="D2001" s="1290"/>
    </row>
    <row r="2002" ht="15">
      <c r="D2002" s="1290"/>
    </row>
    <row r="2003" ht="15">
      <c r="D2003" s="1290"/>
    </row>
    <row r="2004" ht="15">
      <c r="D2004" s="1290"/>
    </row>
    <row r="2005" ht="15">
      <c r="D2005" s="1290"/>
    </row>
    <row r="2006" ht="15">
      <c r="D2006" s="1290"/>
    </row>
    <row r="2007" ht="15">
      <c r="D2007" s="1290"/>
    </row>
    <row r="2008" ht="15">
      <c r="D2008" s="1290"/>
    </row>
    <row r="2009" ht="15">
      <c r="D2009" s="1290"/>
    </row>
    <row r="2010" ht="15">
      <c r="D2010" s="1290"/>
    </row>
    <row r="2011" ht="15">
      <c r="D2011" s="1290"/>
    </row>
    <row r="2012" ht="15">
      <c r="D2012" s="1290"/>
    </row>
    <row r="2013" ht="15">
      <c r="D2013" s="1290"/>
    </row>
    <row r="2014" ht="15">
      <c r="D2014" s="1290"/>
    </row>
    <row r="2015" ht="15">
      <c r="D2015" s="1290"/>
    </row>
    <row r="2016" ht="15">
      <c r="D2016" s="1290"/>
    </row>
    <row r="2017" ht="15">
      <c r="D2017" s="1290"/>
    </row>
    <row r="2018" ht="15">
      <c r="D2018" s="1290"/>
    </row>
    <row r="2019" ht="15">
      <c r="D2019" s="1290"/>
    </row>
    <row r="2020" ht="15">
      <c r="D2020" s="1290"/>
    </row>
    <row r="2021" ht="15">
      <c r="D2021" s="1290"/>
    </row>
    <row r="2022" ht="15">
      <c r="D2022" s="1290"/>
    </row>
    <row r="2023" ht="15">
      <c r="D2023" s="1290"/>
    </row>
    <row r="2024" ht="15">
      <c r="D2024" s="1290"/>
    </row>
    <row r="2025" ht="15">
      <c r="D2025" s="1290"/>
    </row>
    <row r="2026" ht="15">
      <c r="D2026" s="1290"/>
    </row>
    <row r="2027" ht="15">
      <c r="D2027" s="1290"/>
    </row>
    <row r="2028" ht="15">
      <c r="D2028" s="1290"/>
    </row>
    <row r="2029" ht="15">
      <c r="D2029" s="1290"/>
    </row>
    <row r="2030" ht="15">
      <c r="D2030" s="1290"/>
    </row>
    <row r="2031" ht="15">
      <c r="D2031" s="1290"/>
    </row>
    <row r="2032" ht="15">
      <c r="D2032" s="1290"/>
    </row>
    <row r="2033" ht="15">
      <c r="D2033" s="1290"/>
    </row>
    <row r="2034" ht="15">
      <c r="D2034" s="1290"/>
    </row>
    <row r="2035" ht="15">
      <c r="D2035" s="1290"/>
    </row>
    <row r="2036" ht="15">
      <c r="D2036" s="1290"/>
    </row>
    <row r="2037" ht="15">
      <c r="D2037" s="1290"/>
    </row>
    <row r="2038" ht="15">
      <c r="D2038" s="1290"/>
    </row>
    <row r="2039" ht="15">
      <c r="D2039" s="1290"/>
    </row>
    <row r="2040" ht="15">
      <c r="D2040" s="1290"/>
    </row>
    <row r="2041" ht="15">
      <c r="D2041" s="1290"/>
    </row>
    <row r="2042" ht="15">
      <c r="D2042" s="1290"/>
    </row>
    <row r="2043" ht="15">
      <c r="D2043" s="1290"/>
    </row>
    <row r="2044" ht="15">
      <c r="D2044" s="1290"/>
    </row>
    <row r="2045" ht="15">
      <c r="D2045" s="1290"/>
    </row>
    <row r="2046" ht="15">
      <c r="D2046" s="1290"/>
    </row>
    <row r="2047" ht="15">
      <c r="D2047" s="1290"/>
    </row>
    <row r="2048" ht="15">
      <c r="D2048" s="1290"/>
    </row>
    <row r="2049" ht="15">
      <c r="D2049" s="1290"/>
    </row>
    <row r="2050" ht="15">
      <c r="D2050" s="1290"/>
    </row>
    <row r="2051" ht="15">
      <c r="D2051" s="1290"/>
    </row>
    <row r="2052" ht="15">
      <c r="D2052" s="1290"/>
    </row>
    <row r="2053" ht="15">
      <c r="D2053" s="1290"/>
    </row>
    <row r="2054" ht="15">
      <c r="D2054" s="1290"/>
    </row>
    <row r="2055" ht="15">
      <c r="D2055" s="1290"/>
    </row>
    <row r="2056" ht="15">
      <c r="D2056" s="1290"/>
    </row>
    <row r="2057" ht="15">
      <c r="D2057" s="1290"/>
    </row>
    <row r="2058" ht="15">
      <c r="D2058" s="1290"/>
    </row>
    <row r="2059" ht="15">
      <c r="D2059" s="1290"/>
    </row>
    <row r="2060" ht="15">
      <c r="D2060" s="1290"/>
    </row>
    <row r="2061" ht="15">
      <c r="D2061" s="1290"/>
    </row>
    <row r="2062" ht="15">
      <c r="D2062" s="1290"/>
    </row>
    <row r="2063" ht="15">
      <c r="D2063" s="1290"/>
    </row>
    <row r="2064" ht="15">
      <c r="D2064" s="1290"/>
    </row>
    <row r="2065" ht="15">
      <c r="D2065" s="1290"/>
    </row>
    <row r="2066" ht="15">
      <c r="D2066" s="1290"/>
    </row>
    <row r="2067" ht="15">
      <c r="D2067" s="1290"/>
    </row>
    <row r="2068" ht="15">
      <c r="D2068" s="1290"/>
    </row>
    <row r="2069" ht="15">
      <c r="D2069" s="1290"/>
    </row>
    <row r="2070" ht="15">
      <c r="D2070" s="1290"/>
    </row>
    <row r="2071" ht="15">
      <c r="D2071" s="1290"/>
    </row>
    <row r="2072" ht="15">
      <c r="D2072" s="1290"/>
    </row>
    <row r="2073" ht="15">
      <c r="D2073" s="1290"/>
    </row>
    <row r="2074" ht="15">
      <c r="D2074" s="1290"/>
    </row>
    <row r="2075" ht="15">
      <c r="D2075" s="1290"/>
    </row>
    <row r="2076" ht="15">
      <c r="D2076" s="1290"/>
    </row>
    <row r="2077" ht="15">
      <c r="D2077" s="1290"/>
    </row>
    <row r="2078" ht="15">
      <c r="D2078" s="1290"/>
    </row>
    <row r="2079" ht="15">
      <c r="D2079" s="1290"/>
    </row>
    <row r="2080" ht="15">
      <c r="D2080" s="1290"/>
    </row>
    <row r="2081" ht="15">
      <c r="D2081" s="1290"/>
    </row>
    <row r="2082" ht="15">
      <c r="D2082" s="1290"/>
    </row>
    <row r="2083" ht="15">
      <c r="D2083" s="1290"/>
    </row>
    <row r="2084" ht="15">
      <c r="D2084" s="1290"/>
    </row>
    <row r="2085" ht="15">
      <c r="D2085" s="1290"/>
    </row>
    <row r="2086" ht="15">
      <c r="D2086" s="1290"/>
    </row>
    <row r="2087" ht="15">
      <c r="D2087" s="1290"/>
    </row>
    <row r="2088" ht="15">
      <c r="D2088" s="1290"/>
    </row>
    <row r="2089" ht="15">
      <c r="D2089" s="1290"/>
    </row>
    <row r="2090" ht="15">
      <c r="D2090" s="1290"/>
    </row>
    <row r="2091" ht="15">
      <c r="D2091" s="1290"/>
    </row>
    <row r="2092" ht="15">
      <c r="D2092" s="1290"/>
    </row>
    <row r="2093" ht="15">
      <c r="D2093" s="1290"/>
    </row>
    <row r="2094" ht="15">
      <c r="D2094" s="1290"/>
    </row>
    <row r="2095" ht="15">
      <c r="D2095" s="1290"/>
    </row>
    <row r="2096" ht="15">
      <c r="D2096" s="1290"/>
    </row>
    <row r="2097" ht="15">
      <c r="D2097" s="1290"/>
    </row>
    <row r="2098" ht="15">
      <c r="D2098" s="1290"/>
    </row>
    <row r="2099" ht="15">
      <c r="D2099" s="1290"/>
    </row>
    <row r="2100" ht="15">
      <c r="D2100" s="1290"/>
    </row>
    <row r="2101" ht="15">
      <c r="D2101" s="1290"/>
    </row>
    <row r="2102" ht="15">
      <c r="D2102" s="1290"/>
    </row>
    <row r="2103" ht="15">
      <c r="D2103" s="1290"/>
    </row>
    <row r="2104" ht="15">
      <c r="D2104" s="1290"/>
    </row>
    <row r="2105" ht="15">
      <c r="D2105" s="1290"/>
    </row>
    <row r="2106" ht="15">
      <c r="D2106" s="1290"/>
    </row>
    <row r="2107" ht="15">
      <c r="D2107" s="1290"/>
    </row>
    <row r="2108" ht="15">
      <c r="D2108" s="1290"/>
    </row>
    <row r="2109" ht="15">
      <c r="D2109" s="1290"/>
    </row>
    <row r="2110" ht="15">
      <c r="D2110" s="1290"/>
    </row>
    <row r="2111" ht="15">
      <c r="D2111" s="1290"/>
    </row>
    <row r="2112" ht="15">
      <c r="D2112" s="1290"/>
    </row>
    <row r="2113" ht="15">
      <c r="D2113" s="1290"/>
    </row>
    <row r="2114" ht="15">
      <c r="D2114" s="1290"/>
    </row>
    <row r="2115" ht="15">
      <c r="D2115" s="1290"/>
    </row>
    <row r="2116" ht="15">
      <c r="D2116" s="1290"/>
    </row>
    <row r="2117" ht="15">
      <c r="D2117" s="1290"/>
    </row>
    <row r="2118" ht="15">
      <c r="D2118" s="1290"/>
    </row>
    <row r="2119" ht="15">
      <c r="D2119" s="1290"/>
    </row>
    <row r="2120" ht="15">
      <c r="D2120" s="1290"/>
    </row>
    <row r="2121" ht="15">
      <c r="D2121" s="1290"/>
    </row>
    <row r="2122" ht="15">
      <c r="D2122" s="1290"/>
    </row>
    <row r="2123" ht="15">
      <c r="D2123" s="1290"/>
    </row>
    <row r="2124" ht="15">
      <c r="D2124" s="1290"/>
    </row>
    <row r="2125" ht="15">
      <c r="D2125" s="1290"/>
    </row>
    <row r="2126" ht="15">
      <c r="D2126" s="1290"/>
    </row>
    <row r="2127" ht="15">
      <c r="D2127" s="1290"/>
    </row>
    <row r="2128" ht="15">
      <c r="D2128" s="1290"/>
    </row>
    <row r="2129" ht="15">
      <c r="D2129" s="1290"/>
    </row>
    <row r="2130" ht="15">
      <c r="D2130" s="1290"/>
    </row>
    <row r="2131" ht="15">
      <c r="D2131" s="1290"/>
    </row>
    <row r="2132" ht="15">
      <c r="D2132" s="1290"/>
    </row>
    <row r="2133" ht="15">
      <c r="D2133" s="1290"/>
    </row>
    <row r="2134" ht="15">
      <c r="D2134" s="1290"/>
    </row>
    <row r="2135" ht="15">
      <c r="D2135" s="1290"/>
    </row>
    <row r="2136" ht="15">
      <c r="D2136" s="1290"/>
    </row>
    <row r="2137" ht="15">
      <c r="D2137" s="1290"/>
    </row>
    <row r="2138" ht="15">
      <c r="D2138" s="1290"/>
    </row>
    <row r="2139" ht="15">
      <c r="D2139" s="1290"/>
    </row>
    <row r="2140" ht="15">
      <c r="D2140" s="1290"/>
    </row>
    <row r="2141" ht="15">
      <c r="D2141" s="1290"/>
    </row>
    <row r="2142" ht="15">
      <c r="D2142" s="1290"/>
    </row>
    <row r="2143" ht="15">
      <c r="D2143" s="1290"/>
    </row>
    <row r="2144" ht="15">
      <c r="D2144" s="1290"/>
    </row>
    <row r="2145" ht="15">
      <c r="D2145" s="1290"/>
    </row>
    <row r="2146" ht="15">
      <c r="D2146" s="1290"/>
    </row>
    <row r="2147" ht="15">
      <c r="D2147" s="1290"/>
    </row>
    <row r="2148" ht="15">
      <c r="D2148" s="1290"/>
    </row>
    <row r="2149" ht="15">
      <c r="D2149" s="1290"/>
    </row>
    <row r="2150" ht="15">
      <c r="D2150" s="1290"/>
    </row>
    <row r="2151" ht="15">
      <c r="D2151" s="1290"/>
    </row>
    <row r="2152" ht="15">
      <c r="D2152" s="1290"/>
    </row>
    <row r="2153" ht="15">
      <c r="D2153" s="1290"/>
    </row>
    <row r="2154" ht="15">
      <c r="D2154" s="1290"/>
    </row>
    <row r="2155" ht="15">
      <c r="D2155" s="1290"/>
    </row>
    <row r="2156" ht="15">
      <c r="D2156" s="1290"/>
    </row>
    <row r="2157" ht="15">
      <c r="D2157" s="1290"/>
    </row>
    <row r="2158" ht="15">
      <c r="D2158" s="1290"/>
    </row>
    <row r="2159" ht="15">
      <c r="D2159" s="1290"/>
    </row>
    <row r="2160" ht="15">
      <c r="D2160" s="1290"/>
    </row>
    <row r="2161" ht="15">
      <c r="D2161" s="1290"/>
    </row>
    <row r="2162" ht="15">
      <c r="D2162" s="1290"/>
    </row>
    <row r="2163" ht="15">
      <c r="D2163" s="1290"/>
    </row>
    <row r="2164" ht="15">
      <c r="D2164" s="1290"/>
    </row>
    <row r="2165" ht="15">
      <c r="D2165" s="1290"/>
    </row>
    <row r="2166" ht="15">
      <c r="D2166" s="1290"/>
    </row>
    <row r="2167" ht="15">
      <c r="D2167" s="1290"/>
    </row>
    <row r="2168" ht="15">
      <c r="D2168" s="1290"/>
    </row>
    <row r="2169" ht="15">
      <c r="D2169" s="1290"/>
    </row>
    <row r="2170" ht="15">
      <c r="D2170" s="1290"/>
    </row>
    <row r="2171" ht="15">
      <c r="D2171" s="1290"/>
    </row>
    <row r="2172" ht="15">
      <c r="D2172" s="1290"/>
    </row>
    <row r="2173" ht="15">
      <c r="D2173" s="1290"/>
    </row>
    <row r="2174" ht="15">
      <c r="D2174" s="1290"/>
    </row>
    <row r="2175" ht="15">
      <c r="D2175" s="1290"/>
    </row>
    <row r="2176" ht="15">
      <c r="D2176" s="1290"/>
    </row>
    <row r="2177" ht="15">
      <c r="D2177" s="1290"/>
    </row>
    <row r="2178" ht="15">
      <c r="D2178" s="1290"/>
    </row>
    <row r="2179" ht="15">
      <c r="D2179" s="1290"/>
    </row>
    <row r="2180" ht="15">
      <c r="D2180" s="1290"/>
    </row>
    <row r="2181" ht="15">
      <c r="D2181" s="1290"/>
    </row>
    <row r="2182" ht="15">
      <c r="D2182" s="1290"/>
    </row>
    <row r="2183" ht="15">
      <c r="D2183" s="1290"/>
    </row>
    <row r="2184" ht="15">
      <c r="D2184" s="1290"/>
    </row>
    <row r="2185" ht="15">
      <c r="D2185" s="1290"/>
    </row>
    <row r="2186" ht="15">
      <c r="D2186" s="1290"/>
    </row>
    <row r="2187" ht="15">
      <c r="D2187" s="1290"/>
    </row>
    <row r="2188" ht="15">
      <c r="D2188" s="1290"/>
    </row>
    <row r="2189" ht="15">
      <c r="D2189" s="1290"/>
    </row>
    <row r="2190" ht="15">
      <c r="D2190" s="1290"/>
    </row>
    <row r="2191" ht="15">
      <c r="D2191" s="1290"/>
    </row>
    <row r="2192" ht="15">
      <c r="D2192" s="1290"/>
    </row>
    <row r="2193" ht="15">
      <c r="D2193" s="1290"/>
    </row>
    <row r="2194" ht="15">
      <c r="D2194" s="1290"/>
    </row>
    <row r="2195" ht="15">
      <c r="D2195" s="1290"/>
    </row>
    <row r="2196" ht="15">
      <c r="D2196" s="1290"/>
    </row>
    <row r="2197" ht="15">
      <c r="D2197" s="1290"/>
    </row>
    <row r="2198" ht="15">
      <c r="D2198" s="1290"/>
    </row>
    <row r="2199" ht="15">
      <c r="D2199" s="1290"/>
    </row>
    <row r="2200" ht="15">
      <c r="D2200" s="1290"/>
    </row>
    <row r="2201" ht="15">
      <c r="D2201" s="1290"/>
    </row>
    <row r="2202" ht="15">
      <c r="D2202" s="1290"/>
    </row>
    <row r="2203" ht="15">
      <c r="D2203" s="1290"/>
    </row>
    <row r="2204" ht="15">
      <c r="D2204" s="1290"/>
    </row>
    <row r="2205" ht="15">
      <c r="D2205" s="1290"/>
    </row>
    <row r="2206" ht="15">
      <c r="D2206" s="1290"/>
    </row>
    <row r="2207" ht="15">
      <c r="D2207" s="1290"/>
    </row>
    <row r="2208" ht="15">
      <c r="D2208" s="1290"/>
    </row>
    <row r="2209" ht="15">
      <c r="D2209" s="1290"/>
    </row>
    <row r="2210" ht="15">
      <c r="D2210" s="1290"/>
    </row>
    <row r="2211" ht="15">
      <c r="D2211" s="1290"/>
    </row>
    <row r="2212" ht="15">
      <c r="D2212" s="1290"/>
    </row>
    <row r="2213" ht="15">
      <c r="D2213" s="1290"/>
    </row>
    <row r="2214" ht="15">
      <c r="D2214" s="1290"/>
    </row>
    <row r="2215" ht="15">
      <c r="D2215" s="1290"/>
    </row>
    <row r="2216" ht="15">
      <c r="D2216" s="1290"/>
    </row>
    <row r="2217" ht="15">
      <c r="D2217" s="1290"/>
    </row>
    <row r="2218" ht="15">
      <c r="D2218" s="1290"/>
    </row>
    <row r="2219" ht="15">
      <c r="D2219" s="1290"/>
    </row>
    <row r="2220" ht="15">
      <c r="D2220" s="1290"/>
    </row>
    <row r="2221" ht="15">
      <c r="D2221" s="1290"/>
    </row>
    <row r="2222" ht="15">
      <c r="D2222" s="1290"/>
    </row>
    <row r="2223" ht="15">
      <c r="D2223" s="1290"/>
    </row>
    <row r="2224" ht="15">
      <c r="D2224" s="1290"/>
    </row>
    <row r="2225" ht="15">
      <c r="D2225" s="1290"/>
    </row>
    <row r="2226" ht="15">
      <c r="D2226" s="1290"/>
    </row>
    <row r="2227" ht="15">
      <c r="D2227" s="1290"/>
    </row>
    <row r="2228" ht="15">
      <c r="D2228" s="1290"/>
    </row>
    <row r="2229" ht="15">
      <c r="D2229" s="1290"/>
    </row>
    <row r="2230" ht="15">
      <c r="D2230" s="1290"/>
    </row>
    <row r="2231" ht="15">
      <c r="D2231" s="1290"/>
    </row>
    <row r="2232" ht="15">
      <c r="D2232" s="1290"/>
    </row>
    <row r="2233" ht="15">
      <c r="D2233" s="1290"/>
    </row>
    <row r="2234" ht="15">
      <c r="D2234" s="1290"/>
    </row>
    <row r="2235" ht="15">
      <c r="D2235" s="1290"/>
    </row>
    <row r="2236" ht="15">
      <c r="D2236" s="1290"/>
    </row>
    <row r="2237" ht="15">
      <c r="D2237" s="1290"/>
    </row>
    <row r="2238" ht="15">
      <c r="D2238" s="1290"/>
    </row>
    <row r="2239" ht="15">
      <c r="D2239" s="1290"/>
    </row>
    <row r="2240" ht="15">
      <c r="D2240" s="1290"/>
    </row>
    <row r="2241" ht="15">
      <c r="D2241" s="1290"/>
    </row>
    <row r="2242" ht="15">
      <c r="D2242" s="1290"/>
    </row>
    <row r="2243" ht="15">
      <c r="D2243" s="1290"/>
    </row>
    <row r="2244" ht="15">
      <c r="D2244" s="1290"/>
    </row>
    <row r="2245" ht="15">
      <c r="D2245" s="1290"/>
    </row>
    <row r="2246" ht="15">
      <c r="D2246" s="1290"/>
    </row>
    <row r="2247" ht="15">
      <c r="D2247" s="1290"/>
    </row>
    <row r="2248" ht="15">
      <c r="D2248" s="1290"/>
    </row>
    <row r="2249" ht="15">
      <c r="D2249" s="1290"/>
    </row>
    <row r="2250" ht="15">
      <c r="D2250" s="1290"/>
    </row>
    <row r="2251" ht="15">
      <c r="D2251" s="1290"/>
    </row>
    <row r="2252" ht="15">
      <c r="D2252" s="1290"/>
    </row>
    <row r="2253" ht="15">
      <c r="D2253" s="1290"/>
    </row>
    <row r="2254" ht="15">
      <c r="D2254" s="1290"/>
    </row>
    <row r="2255" ht="15">
      <c r="D2255" s="1290"/>
    </row>
    <row r="2256" ht="15">
      <c r="D2256" s="1290"/>
    </row>
    <row r="2257" ht="15">
      <c r="D2257" s="1290"/>
    </row>
    <row r="2258" ht="15">
      <c r="D2258" s="1290"/>
    </row>
    <row r="2259" ht="15">
      <c r="D2259" s="1290"/>
    </row>
    <row r="2260" ht="15">
      <c r="D2260" s="1290"/>
    </row>
    <row r="2261" ht="15">
      <c r="D2261" s="1290"/>
    </row>
    <row r="2262" ht="15">
      <c r="D2262" s="1290"/>
    </row>
    <row r="2263" ht="15">
      <c r="D2263" s="1290"/>
    </row>
    <row r="2264" ht="15">
      <c r="D2264" s="1290"/>
    </row>
    <row r="2265" ht="15">
      <c r="D2265" s="1290"/>
    </row>
    <row r="2266" ht="15">
      <c r="D2266" s="1290"/>
    </row>
    <row r="2267" ht="15">
      <c r="D2267" s="1290"/>
    </row>
    <row r="2268" ht="15">
      <c r="D2268" s="1290"/>
    </row>
    <row r="2269" ht="15">
      <c r="D2269" s="1290"/>
    </row>
    <row r="2270" ht="15">
      <c r="D2270" s="1290"/>
    </row>
    <row r="2271" ht="15">
      <c r="D2271" s="1290"/>
    </row>
    <row r="2272" ht="15">
      <c r="D2272" s="1290"/>
    </row>
    <row r="2273" ht="15">
      <c r="D2273" s="1290"/>
    </row>
    <row r="2274" ht="15">
      <c r="D2274" s="1290"/>
    </row>
    <row r="2275" ht="15">
      <c r="D2275" s="1290"/>
    </row>
    <row r="2276" ht="15">
      <c r="D2276" s="1290"/>
    </row>
    <row r="2277" ht="15">
      <c r="D2277" s="1290"/>
    </row>
    <row r="2278" ht="15">
      <c r="D2278" s="1290"/>
    </row>
    <row r="2279" ht="15">
      <c r="D2279" s="1290"/>
    </row>
    <row r="2280" ht="15">
      <c r="D2280" s="1290"/>
    </row>
    <row r="2281" ht="15">
      <c r="D2281" s="1290"/>
    </row>
    <row r="2282" ht="15">
      <c r="D2282" s="1290"/>
    </row>
    <row r="2283" ht="15">
      <c r="D2283" s="1290"/>
    </row>
    <row r="2284" ht="15">
      <c r="D2284" s="1290"/>
    </row>
    <row r="2285" ht="15">
      <c r="D2285" s="1290"/>
    </row>
    <row r="2286" ht="15">
      <c r="D2286" s="1290"/>
    </row>
    <row r="2287" ht="15">
      <c r="D2287" s="1290"/>
    </row>
    <row r="2288" ht="15">
      <c r="D2288" s="1290"/>
    </row>
    <row r="2289" ht="15">
      <c r="D2289" s="1290"/>
    </row>
    <row r="2290" ht="15">
      <c r="D2290" s="1290"/>
    </row>
    <row r="2291" ht="15">
      <c r="D2291" s="1290"/>
    </row>
    <row r="2292" ht="15">
      <c r="D2292" s="1290"/>
    </row>
    <row r="2293" ht="15">
      <c r="D2293" s="1290"/>
    </row>
    <row r="2294" ht="15">
      <c r="D2294" s="1290"/>
    </row>
    <row r="2295" ht="15">
      <c r="D2295" s="1290"/>
    </row>
    <row r="2296" ht="15">
      <c r="D2296" s="1290"/>
    </row>
    <row r="2297" ht="15">
      <c r="D2297" s="1290"/>
    </row>
    <row r="2298" ht="15">
      <c r="D2298" s="1290"/>
    </row>
    <row r="2299" ht="15">
      <c r="D2299" s="1290"/>
    </row>
    <row r="2300" ht="15">
      <c r="D2300" s="1290"/>
    </row>
    <row r="2301" ht="15">
      <c r="D2301" s="1290"/>
    </row>
    <row r="2302" ht="15">
      <c r="D2302" s="1290"/>
    </row>
    <row r="2303" ht="15">
      <c r="D2303" s="1290"/>
    </row>
    <row r="2304" ht="15">
      <c r="D2304" s="1290"/>
    </row>
    <row r="2305" ht="15">
      <c r="D2305" s="1290"/>
    </row>
    <row r="2306" ht="15">
      <c r="D2306" s="1290"/>
    </row>
    <row r="2307" ht="15">
      <c r="D2307" s="1290"/>
    </row>
    <row r="2308" ht="15">
      <c r="D2308" s="1290"/>
    </row>
    <row r="2309" ht="15">
      <c r="D2309" s="1290"/>
    </row>
    <row r="2310" ht="15">
      <c r="D2310" s="1290"/>
    </row>
    <row r="2311" ht="15">
      <c r="D2311" s="1290"/>
    </row>
    <row r="2312" ht="15">
      <c r="D2312" s="1290"/>
    </row>
    <row r="2313" ht="15">
      <c r="D2313" s="1290"/>
    </row>
    <row r="2314" ht="15">
      <c r="D2314" s="1290"/>
    </row>
    <row r="2315" ht="15">
      <c r="D2315" s="1290"/>
    </row>
    <row r="2316" ht="15">
      <c r="D2316" s="1290"/>
    </row>
    <row r="2317" ht="15">
      <c r="D2317" s="1290"/>
    </row>
    <row r="2318" ht="15">
      <c r="D2318" s="1290"/>
    </row>
    <row r="2319" ht="15">
      <c r="D2319" s="1290"/>
    </row>
    <row r="2320" ht="15">
      <c r="D2320" s="1290"/>
    </row>
    <row r="2321" ht="15">
      <c r="D2321" s="1290"/>
    </row>
    <row r="2322" ht="15">
      <c r="D2322" s="1290"/>
    </row>
    <row r="2323" ht="15">
      <c r="D2323" s="1290"/>
    </row>
    <row r="2324" ht="15">
      <c r="D2324" s="1290"/>
    </row>
    <row r="2325" ht="15">
      <c r="D2325" s="1290"/>
    </row>
    <row r="2326" ht="15">
      <c r="D2326" s="1290"/>
    </row>
    <row r="2327" ht="15">
      <c r="D2327" s="1290"/>
    </row>
    <row r="2328" ht="15">
      <c r="D2328" s="1290"/>
    </row>
    <row r="2329" ht="15">
      <c r="D2329" s="1290"/>
    </row>
    <row r="2330" ht="15">
      <c r="D2330" s="1290"/>
    </row>
    <row r="2331" ht="15">
      <c r="D2331" s="1290"/>
    </row>
    <row r="2332" ht="15">
      <c r="D2332" s="1290"/>
    </row>
    <row r="2333" ht="15">
      <c r="D2333" s="1290"/>
    </row>
    <row r="2334" ht="15">
      <c r="D2334" s="1290"/>
    </row>
    <row r="2335" ht="15">
      <c r="D2335" s="1290"/>
    </row>
    <row r="2336" ht="15">
      <c r="D2336" s="1290"/>
    </row>
    <row r="2337" ht="15">
      <c r="D2337" s="1290"/>
    </row>
    <row r="2338" ht="15">
      <c r="D2338" s="1290"/>
    </row>
    <row r="2339" ht="15">
      <c r="D2339" s="1290"/>
    </row>
    <row r="2340" ht="15">
      <c r="D2340" s="1290"/>
    </row>
    <row r="2341" ht="15">
      <c r="D2341" s="1290"/>
    </row>
    <row r="2342" ht="15">
      <c r="D2342" s="1290"/>
    </row>
    <row r="2343" ht="15">
      <c r="D2343" s="1290"/>
    </row>
    <row r="2344" ht="15">
      <c r="D2344" s="1290"/>
    </row>
    <row r="2345" ht="15">
      <c r="D2345" s="1290"/>
    </row>
    <row r="2346" ht="15">
      <c r="D2346" s="1290"/>
    </row>
    <row r="2347" ht="15">
      <c r="D2347" s="1290"/>
    </row>
    <row r="2348" ht="15">
      <c r="D2348" s="1290"/>
    </row>
    <row r="2349" ht="15">
      <c r="D2349" s="1290"/>
    </row>
    <row r="2350" ht="15">
      <c r="D2350" s="1290"/>
    </row>
    <row r="2351" ht="15">
      <c r="D2351" s="1290"/>
    </row>
    <row r="2352" ht="15">
      <c r="D2352" s="1290"/>
    </row>
    <row r="2353" ht="15">
      <c r="D2353" s="1290"/>
    </row>
    <row r="2354" ht="15">
      <c r="D2354" s="1290"/>
    </row>
    <row r="2355" ht="15">
      <c r="D2355" s="1290"/>
    </row>
    <row r="2356" ht="15">
      <c r="D2356" s="1290"/>
    </row>
    <row r="2357" ht="15">
      <c r="D2357" s="1290"/>
    </row>
    <row r="2358" ht="15">
      <c r="D2358" s="1290"/>
    </row>
    <row r="2359" ht="15">
      <c r="D2359" s="1290"/>
    </row>
    <row r="2360" ht="15">
      <c r="D2360" s="1290"/>
    </row>
    <row r="2361" ht="15">
      <c r="D2361" s="1290"/>
    </row>
    <row r="2362" ht="15">
      <c r="D2362" s="1290"/>
    </row>
    <row r="2363" ht="15">
      <c r="D2363" s="1290"/>
    </row>
    <row r="2364" ht="15">
      <c r="D2364" s="1290"/>
    </row>
    <row r="2365" ht="15">
      <c r="D2365" s="1290"/>
    </row>
    <row r="2366" ht="15">
      <c r="D2366" s="1290"/>
    </row>
    <row r="2367" ht="15">
      <c r="D2367" s="1290"/>
    </row>
    <row r="2368" ht="15">
      <c r="D2368" s="1290"/>
    </row>
    <row r="2369" ht="15">
      <c r="D2369" s="1290"/>
    </row>
    <row r="2370" ht="15">
      <c r="D2370" s="1290"/>
    </row>
    <row r="2371" ht="15">
      <c r="D2371" s="1290"/>
    </row>
    <row r="2372" ht="15">
      <c r="D2372" s="1290"/>
    </row>
    <row r="2373" ht="15">
      <c r="D2373" s="1290"/>
    </row>
    <row r="2374" ht="15">
      <c r="D2374" s="1290"/>
    </row>
    <row r="2375" ht="15">
      <c r="D2375" s="1290"/>
    </row>
    <row r="2376" ht="15">
      <c r="D2376" s="1290"/>
    </row>
    <row r="2377" ht="15">
      <c r="D2377" s="1290"/>
    </row>
    <row r="2378" ht="15">
      <c r="D2378" s="1290"/>
    </row>
    <row r="2379" ht="15">
      <c r="D2379" s="1290"/>
    </row>
    <row r="2380" ht="15">
      <c r="D2380" s="1290"/>
    </row>
    <row r="2381" ht="15">
      <c r="D2381" s="1290"/>
    </row>
    <row r="2382" ht="15">
      <c r="D2382" s="1290"/>
    </row>
    <row r="2383" ht="15">
      <c r="D2383" s="1290"/>
    </row>
    <row r="2384" ht="15">
      <c r="D2384" s="1290"/>
    </row>
    <row r="2385" ht="15">
      <c r="D2385" s="1290"/>
    </row>
    <row r="2386" ht="15">
      <c r="D2386" s="1290"/>
    </row>
    <row r="2387" ht="15">
      <c r="D2387" s="1290"/>
    </row>
    <row r="2388" ht="15">
      <c r="D2388" s="1290"/>
    </row>
    <row r="2389" ht="15">
      <c r="D2389" s="1290"/>
    </row>
    <row r="2390" ht="15">
      <c r="D2390" s="1290"/>
    </row>
    <row r="2391" ht="15">
      <c r="D2391" s="1290"/>
    </row>
    <row r="2392" ht="15">
      <c r="D2392" s="1290"/>
    </row>
    <row r="2393" ht="15">
      <c r="D2393" s="1290"/>
    </row>
    <row r="2394" ht="15">
      <c r="D2394" s="1290"/>
    </row>
    <row r="2395" ht="15">
      <c r="D2395" s="1290"/>
    </row>
    <row r="2396" ht="15">
      <c r="D2396" s="1290"/>
    </row>
    <row r="2397" ht="15">
      <c r="D2397" s="1290"/>
    </row>
    <row r="2398" ht="15">
      <c r="D2398" s="1290"/>
    </row>
    <row r="2399" ht="15">
      <c r="D2399" s="1290"/>
    </row>
    <row r="2400" ht="15">
      <c r="D2400" s="1290"/>
    </row>
    <row r="2401" ht="15">
      <c r="D2401" s="1290"/>
    </row>
    <row r="2402" ht="15">
      <c r="D2402" s="1290"/>
    </row>
    <row r="2403" ht="15">
      <c r="D2403" s="1290"/>
    </row>
    <row r="2404" ht="15">
      <c r="D2404" s="1290"/>
    </row>
    <row r="2405" ht="15">
      <c r="D2405" s="1290"/>
    </row>
    <row r="2406" ht="15">
      <c r="D2406" s="1290"/>
    </row>
    <row r="2407" ht="15">
      <c r="D2407" s="1290"/>
    </row>
    <row r="2408" ht="15">
      <c r="D2408" s="1290"/>
    </row>
    <row r="2409" ht="15">
      <c r="D2409" s="1290"/>
    </row>
    <row r="2410" ht="15">
      <c r="D2410" s="1290"/>
    </row>
    <row r="2411" ht="15">
      <c r="D2411" s="1290"/>
    </row>
    <row r="2412" ht="15">
      <c r="D2412" s="1290"/>
    </row>
    <row r="2413" ht="15">
      <c r="D2413" s="1290"/>
    </row>
    <row r="2414" ht="15">
      <c r="D2414" s="1290"/>
    </row>
    <row r="2415" ht="15">
      <c r="D2415" s="1290"/>
    </row>
    <row r="2416" ht="15">
      <c r="D2416" s="1290"/>
    </row>
    <row r="2417" ht="15">
      <c r="D2417" s="1290"/>
    </row>
    <row r="2418" ht="15">
      <c r="D2418" s="1290"/>
    </row>
    <row r="2419" ht="15">
      <c r="D2419" s="1290"/>
    </row>
    <row r="2420" ht="15">
      <c r="D2420" s="1290"/>
    </row>
    <row r="2421" ht="15">
      <c r="D2421" s="1290"/>
    </row>
    <row r="2422" ht="15">
      <c r="D2422" s="1290"/>
    </row>
    <row r="2423" ht="15">
      <c r="D2423" s="1290"/>
    </row>
    <row r="2424" ht="15">
      <c r="D2424" s="1290"/>
    </row>
    <row r="2425" ht="15">
      <c r="D2425" s="1290"/>
    </row>
    <row r="2426" ht="15">
      <c r="D2426" s="1290"/>
    </row>
    <row r="2427" ht="15">
      <c r="D2427" s="1290"/>
    </row>
    <row r="2428" ht="15">
      <c r="D2428" s="1290"/>
    </row>
    <row r="2429" ht="15">
      <c r="D2429" s="1290"/>
    </row>
    <row r="2430" ht="15">
      <c r="D2430" s="1290"/>
    </row>
    <row r="2431" ht="15">
      <c r="D2431" s="1290"/>
    </row>
    <row r="2432" ht="15">
      <c r="D2432" s="1290"/>
    </row>
    <row r="2433" ht="15">
      <c r="D2433" s="1290"/>
    </row>
    <row r="2434" ht="15">
      <c r="D2434" s="1290"/>
    </row>
    <row r="2435" ht="15">
      <c r="D2435" s="1290"/>
    </row>
    <row r="2436" ht="15">
      <c r="D2436" s="1290"/>
    </row>
    <row r="2437" ht="15">
      <c r="D2437" s="1290"/>
    </row>
    <row r="2438" ht="15">
      <c r="D2438" s="1290"/>
    </row>
    <row r="2439" ht="15">
      <c r="D2439" s="1290"/>
    </row>
    <row r="2440" ht="15">
      <c r="D2440" s="1290"/>
    </row>
    <row r="2441" ht="15">
      <c r="D2441" s="1290"/>
    </row>
    <row r="2442" ht="15">
      <c r="D2442" s="1290"/>
    </row>
    <row r="2443" ht="15">
      <c r="D2443" s="1290"/>
    </row>
    <row r="2444" ht="15">
      <c r="D2444" s="1290"/>
    </row>
    <row r="2445" ht="15">
      <c r="D2445" s="1290"/>
    </row>
    <row r="2446" ht="15">
      <c r="D2446" s="1290"/>
    </row>
    <row r="2447" ht="15">
      <c r="D2447" s="1290"/>
    </row>
    <row r="2448" ht="15">
      <c r="D2448" s="1290"/>
    </row>
    <row r="2449" ht="15">
      <c r="D2449" s="1290"/>
    </row>
    <row r="2450" ht="15">
      <c r="D2450" s="1290"/>
    </row>
    <row r="2451" ht="15">
      <c r="D2451" s="1290"/>
    </row>
    <row r="2452" ht="15">
      <c r="D2452" s="1290"/>
    </row>
    <row r="2453" ht="15">
      <c r="D2453" s="1290"/>
    </row>
    <row r="2454" ht="15">
      <c r="D2454" s="1290"/>
    </row>
    <row r="2455" ht="15">
      <c r="D2455" s="1290"/>
    </row>
    <row r="2456" ht="15">
      <c r="D2456" s="1290"/>
    </row>
    <row r="2457" ht="15">
      <c r="D2457" s="1290"/>
    </row>
    <row r="2458" ht="15">
      <c r="D2458" s="1290"/>
    </row>
    <row r="2459" ht="15">
      <c r="D2459" s="1290"/>
    </row>
    <row r="2460" ht="15">
      <c r="D2460" s="1290"/>
    </row>
    <row r="2461" ht="15">
      <c r="D2461" s="1290"/>
    </row>
    <row r="2462" ht="15">
      <c r="D2462" s="1290"/>
    </row>
    <row r="2463" ht="15">
      <c r="D2463" s="1290"/>
    </row>
    <row r="2464" ht="15">
      <c r="D2464" s="1290"/>
    </row>
    <row r="2465" ht="15">
      <c r="D2465" s="1290"/>
    </row>
    <row r="2466" ht="15">
      <c r="D2466" s="1290"/>
    </row>
    <row r="2467" ht="15">
      <c r="D2467" s="1290"/>
    </row>
    <row r="2468" ht="15">
      <c r="D2468" s="1290"/>
    </row>
    <row r="2469" ht="15">
      <c r="D2469" s="1290"/>
    </row>
    <row r="2470" ht="15">
      <c r="D2470" s="1290"/>
    </row>
    <row r="2471" ht="15">
      <c r="D2471" s="1290"/>
    </row>
    <row r="2472" ht="15">
      <c r="D2472" s="1290"/>
    </row>
    <row r="2473" ht="15">
      <c r="D2473" s="1290"/>
    </row>
    <row r="2474" ht="15">
      <c r="D2474" s="1290"/>
    </row>
    <row r="2475" ht="15">
      <c r="D2475" s="1290"/>
    </row>
    <row r="2476" ht="15">
      <c r="D2476" s="1290"/>
    </row>
    <row r="2477" ht="15">
      <c r="D2477" s="1290"/>
    </row>
    <row r="2478" ht="15">
      <c r="D2478" s="1290"/>
    </row>
    <row r="2479" ht="15">
      <c r="D2479" s="1290"/>
    </row>
    <row r="2480" ht="15">
      <c r="D2480" s="1290"/>
    </row>
    <row r="2481" ht="15">
      <c r="D2481" s="1290"/>
    </row>
    <row r="2482" ht="15">
      <c r="D2482" s="1290"/>
    </row>
    <row r="2483" ht="15">
      <c r="D2483" s="1290"/>
    </row>
    <row r="2484" ht="15">
      <c r="D2484" s="1290"/>
    </row>
    <row r="2485" ht="15">
      <c r="D2485" s="1290"/>
    </row>
    <row r="2486" ht="15">
      <c r="D2486" s="1290"/>
    </row>
    <row r="2487" ht="15">
      <c r="D2487" s="1290"/>
    </row>
    <row r="2488" ht="15">
      <c r="D2488" s="1290"/>
    </row>
    <row r="2489" ht="15">
      <c r="D2489" s="1290"/>
    </row>
    <row r="2490" ht="15">
      <c r="D2490" s="1290"/>
    </row>
    <row r="2491" ht="15">
      <c r="D2491" s="1290"/>
    </row>
    <row r="2492" ht="15">
      <c r="D2492" s="1290"/>
    </row>
    <row r="2493" ht="15">
      <c r="D2493" s="1290"/>
    </row>
    <row r="2494" ht="15">
      <c r="D2494" s="1290"/>
    </row>
    <row r="2495" ht="15">
      <c r="D2495" s="1290"/>
    </row>
    <row r="2496" ht="15">
      <c r="D2496" s="1290"/>
    </row>
    <row r="2497" ht="15">
      <c r="D2497" s="1290"/>
    </row>
    <row r="2498" ht="15">
      <c r="D2498" s="1290"/>
    </row>
    <row r="2499" ht="15">
      <c r="D2499" s="1290"/>
    </row>
    <row r="2500" ht="15">
      <c r="D2500" s="1290"/>
    </row>
    <row r="2501" ht="15">
      <c r="D2501" s="1290"/>
    </row>
    <row r="2502" ht="15">
      <c r="D2502" s="1290"/>
    </row>
    <row r="2503" ht="15">
      <c r="D2503" s="1290"/>
    </row>
    <row r="2504" ht="15">
      <c r="D2504" s="1290"/>
    </row>
    <row r="2505" ht="15">
      <c r="D2505" s="1290"/>
    </row>
    <row r="2506" ht="15">
      <c r="D2506" s="1290"/>
    </row>
    <row r="2507" ht="15">
      <c r="D2507" s="1290"/>
    </row>
    <row r="2508" ht="15">
      <c r="D2508" s="1290"/>
    </row>
    <row r="2509" ht="15">
      <c r="D2509" s="1290"/>
    </row>
    <row r="2510" ht="15">
      <c r="D2510" s="1290"/>
    </row>
    <row r="2511" ht="15">
      <c r="D2511" s="1290"/>
    </row>
    <row r="2512" ht="15">
      <c r="D2512" s="1290"/>
    </row>
    <row r="2513" ht="15">
      <c r="D2513" s="1290"/>
    </row>
    <row r="2514" ht="15">
      <c r="D2514" s="1290"/>
    </row>
    <row r="2515" ht="15">
      <c r="D2515" s="1290"/>
    </row>
    <row r="2516" ht="15">
      <c r="D2516" s="1290"/>
    </row>
    <row r="2517" ht="15">
      <c r="D2517" s="1290"/>
    </row>
    <row r="2518" ht="15">
      <c r="D2518" s="1290"/>
    </row>
    <row r="2519" ht="15">
      <c r="D2519" s="1290"/>
    </row>
    <row r="2520" ht="15">
      <c r="D2520" s="1290"/>
    </row>
    <row r="2521" ht="15">
      <c r="D2521" s="1290"/>
    </row>
    <row r="2522" ht="15">
      <c r="D2522" s="1290"/>
    </row>
    <row r="2523" ht="15">
      <c r="D2523" s="1290"/>
    </row>
    <row r="2524" ht="15">
      <c r="D2524" s="1290"/>
    </row>
    <row r="2525" ht="15">
      <c r="D2525" s="1290"/>
    </row>
    <row r="2526" ht="15">
      <c r="D2526" s="1290"/>
    </row>
    <row r="2527" ht="15">
      <c r="D2527" s="1290"/>
    </row>
    <row r="2528" ht="15">
      <c r="D2528" s="1290"/>
    </row>
    <row r="2529" ht="15">
      <c r="D2529" s="1290"/>
    </row>
    <row r="2530" ht="15">
      <c r="D2530" s="1290"/>
    </row>
    <row r="2531" ht="15">
      <c r="D2531" s="1290"/>
    </row>
    <row r="2532" ht="15">
      <c r="D2532" s="1290"/>
    </row>
    <row r="2533" ht="15">
      <c r="D2533" s="1290"/>
    </row>
    <row r="2534" ht="15">
      <c r="D2534" s="1290"/>
    </row>
    <row r="2535" ht="15">
      <c r="D2535" s="1290"/>
    </row>
    <row r="2536" ht="15">
      <c r="D2536" s="1290"/>
    </row>
    <row r="2537" ht="15">
      <c r="D2537" s="1290"/>
    </row>
    <row r="2538" ht="15">
      <c r="D2538" s="1290"/>
    </row>
    <row r="2539" ht="15">
      <c r="D2539" s="1290"/>
    </row>
    <row r="2540" ht="15">
      <c r="D2540" s="1290"/>
    </row>
    <row r="2541" ht="15">
      <c r="D2541" s="1290"/>
    </row>
    <row r="2542" ht="15">
      <c r="D2542" s="1290"/>
    </row>
    <row r="2543" ht="15">
      <c r="D2543" s="1290"/>
    </row>
    <row r="2544" ht="15">
      <c r="D2544" s="1290"/>
    </row>
    <row r="2545" ht="15">
      <c r="D2545" s="1290"/>
    </row>
    <row r="2546" ht="15">
      <c r="D2546" s="1290"/>
    </row>
    <row r="2547" ht="15">
      <c r="D2547" s="1290"/>
    </row>
    <row r="2548" ht="15">
      <c r="D2548" s="1290"/>
    </row>
    <row r="2549" ht="15">
      <c r="D2549" s="1290"/>
    </row>
    <row r="2550" ht="15">
      <c r="D2550" s="1290"/>
    </row>
    <row r="2551" ht="15">
      <c r="D2551" s="1290"/>
    </row>
    <row r="2552" ht="15">
      <c r="D2552" s="1290"/>
    </row>
    <row r="2553" ht="15">
      <c r="D2553" s="1290"/>
    </row>
    <row r="2554" ht="15">
      <c r="D2554" s="1290"/>
    </row>
    <row r="2555" ht="15">
      <c r="D2555" s="1290"/>
    </row>
    <row r="2556" ht="15">
      <c r="D2556" s="1290"/>
    </row>
    <row r="2557" ht="15">
      <c r="D2557" s="1290"/>
    </row>
    <row r="2558" ht="15">
      <c r="D2558" s="1290"/>
    </row>
    <row r="2559" ht="15">
      <c r="D2559" s="1290"/>
    </row>
    <row r="2560" ht="15">
      <c r="D2560" s="1290"/>
    </row>
    <row r="2561" ht="15">
      <c r="D2561" s="1290"/>
    </row>
    <row r="2562" ht="15">
      <c r="D2562" s="1290"/>
    </row>
    <row r="2563" ht="15">
      <c r="D2563" s="1290"/>
    </row>
    <row r="2564" ht="15">
      <c r="D2564" s="1290"/>
    </row>
    <row r="2565" ht="15">
      <c r="D2565" s="1290"/>
    </row>
    <row r="2566" ht="15">
      <c r="D2566" s="1290"/>
    </row>
    <row r="2567" ht="15">
      <c r="D2567" s="1290"/>
    </row>
    <row r="2568" ht="15">
      <c r="D2568" s="1290"/>
    </row>
    <row r="2569" ht="15">
      <c r="D2569" s="1290"/>
    </row>
    <row r="2570" ht="15">
      <c r="D2570" s="1290"/>
    </row>
    <row r="2571" ht="15">
      <c r="D2571" s="1290"/>
    </row>
    <row r="2572" ht="15">
      <c r="D2572" s="1290"/>
    </row>
    <row r="2573" ht="15">
      <c r="D2573" s="1290"/>
    </row>
    <row r="2574" ht="15">
      <c r="D2574" s="1290"/>
    </row>
    <row r="2575" ht="15">
      <c r="D2575" s="1290"/>
    </row>
    <row r="2576" ht="15">
      <c r="D2576" s="1290"/>
    </row>
    <row r="2577" ht="15">
      <c r="D2577" s="1290"/>
    </row>
    <row r="2578" ht="15">
      <c r="D2578" s="1290"/>
    </row>
    <row r="2579" ht="15">
      <c r="D2579" s="1290"/>
    </row>
    <row r="2580" ht="15">
      <c r="D2580" s="1290"/>
    </row>
    <row r="2581" ht="15">
      <c r="D2581" s="1290"/>
    </row>
    <row r="2582" ht="15">
      <c r="D2582" s="1290"/>
    </row>
    <row r="2583" ht="15">
      <c r="D2583" s="1290"/>
    </row>
    <row r="2584" ht="15">
      <c r="D2584" s="1290"/>
    </row>
    <row r="2585" ht="15">
      <c r="D2585" s="1290"/>
    </row>
    <row r="2586" ht="15">
      <c r="D2586" s="1290"/>
    </row>
    <row r="2587" ht="15">
      <c r="D2587" s="1290"/>
    </row>
    <row r="2588" ht="15">
      <c r="D2588" s="1290"/>
    </row>
    <row r="2589" ht="15">
      <c r="D2589" s="1290"/>
    </row>
    <row r="2590" ht="15">
      <c r="D2590" s="1290"/>
    </row>
    <row r="2591" ht="15">
      <c r="D2591" s="1290"/>
    </row>
    <row r="2592" ht="15">
      <c r="D2592" s="1290"/>
    </row>
    <row r="2593" ht="15">
      <c r="D2593" s="1290"/>
    </row>
    <row r="2594" ht="15">
      <c r="D2594" s="1290"/>
    </row>
    <row r="2595" ht="15">
      <c r="D2595" s="1290"/>
    </row>
    <row r="2596" ht="15">
      <c r="D2596" s="1290"/>
    </row>
    <row r="2597" ht="15">
      <c r="D2597" s="1290"/>
    </row>
    <row r="2598" ht="15">
      <c r="D2598" s="1290"/>
    </row>
    <row r="2599" ht="15">
      <c r="D2599" s="1290"/>
    </row>
    <row r="2600" ht="15">
      <c r="D2600" s="1290"/>
    </row>
    <row r="2601" ht="15">
      <c r="D2601" s="1290"/>
    </row>
    <row r="2602" ht="15">
      <c r="D2602" s="1290"/>
    </row>
    <row r="2603" ht="15">
      <c r="D2603" s="1290"/>
    </row>
    <row r="2604" ht="15">
      <c r="D2604" s="1290"/>
    </row>
    <row r="2605" ht="15">
      <c r="D2605" s="1290"/>
    </row>
    <row r="2606" ht="15">
      <c r="D2606" s="1290"/>
    </row>
    <row r="2607" ht="15">
      <c r="D2607" s="1290"/>
    </row>
    <row r="2608" ht="15">
      <c r="D2608" s="1290"/>
    </row>
    <row r="2609" ht="15">
      <c r="D2609" s="1290"/>
    </row>
    <row r="2610" ht="15">
      <c r="D2610" s="1290"/>
    </row>
    <row r="2611" ht="15">
      <c r="D2611" s="1290"/>
    </row>
    <row r="2612" ht="15">
      <c r="D2612" s="1290"/>
    </row>
    <row r="2613" ht="15">
      <c r="D2613" s="1290"/>
    </row>
    <row r="2614" ht="15">
      <c r="D2614" s="1290"/>
    </row>
    <row r="2615" ht="15">
      <c r="D2615" s="1290"/>
    </row>
    <row r="2616" ht="15">
      <c r="D2616" s="1290"/>
    </row>
    <row r="2617" ht="15">
      <c r="D2617" s="1290"/>
    </row>
    <row r="2618" ht="15">
      <c r="D2618" s="1290"/>
    </row>
    <row r="2619" ht="15">
      <c r="D2619" s="1290"/>
    </row>
    <row r="2620" ht="15">
      <c r="D2620" s="1290"/>
    </row>
    <row r="2621" ht="15">
      <c r="D2621" s="1290"/>
    </row>
    <row r="2622" ht="15">
      <c r="D2622" s="1290"/>
    </row>
    <row r="2623" ht="15">
      <c r="D2623" s="1290"/>
    </row>
    <row r="2624" ht="15">
      <c r="D2624" s="1290"/>
    </row>
    <row r="2625" ht="15">
      <c r="D2625" s="1290"/>
    </row>
    <row r="2626" ht="15">
      <c r="D2626" s="1290"/>
    </row>
    <row r="2627" ht="15">
      <c r="D2627" s="1290"/>
    </row>
    <row r="2628" ht="15">
      <c r="D2628" s="1290"/>
    </row>
    <row r="2629" ht="15">
      <c r="D2629" s="1290"/>
    </row>
    <row r="2630" ht="15">
      <c r="D2630" s="1290"/>
    </row>
    <row r="2631" ht="15">
      <c r="D2631" s="1290"/>
    </row>
    <row r="2632" ht="15">
      <c r="D2632" s="1290"/>
    </row>
    <row r="2633" ht="15">
      <c r="D2633" s="1290"/>
    </row>
    <row r="2634" ht="15">
      <c r="D2634" s="1290"/>
    </row>
    <row r="2635" ht="15">
      <c r="D2635" s="1290"/>
    </row>
    <row r="2636" ht="15">
      <c r="D2636" s="1290"/>
    </row>
    <row r="2637" ht="15">
      <c r="D2637" s="1290"/>
    </row>
    <row r="2638" ht="15">
      <c r="D2638" s="1290"/>
    </row>
    <row r="2639" ht="15">
      <c r="D2639" s="1290"/>
    </row>
    <row r="2640" ht="15">
      <c r="D2640" s="1290"/>
    </row>
    <row r="2641" ht="15">
      <c r="D2641" s="1290"/>
    </row>
    <row r="2642" ht="15">
      <c r="D2642" s="1290"/>
    </row>
    <row r="2643" ht="15">
      <c r="D2643" s="1290"/>
    </row>
    <row r="2644" ht="15">
      <c r="D2644" s="1290"/>
    </row>
    <row r="2645" ht="15">
      <c r="D2645" s="1290"/>
    </row>
    <row r="2646" ht="15">
      <c r="D2646" s="1290"/>
    </row>
    <row r="2647" ht="15">
      <c r="D2647" s="1290"/>
    </row>
    <row r="2648" ht="15">
      <c r="D2648" s="1290"/>
    </row>
    <row r="2649" ht="15">
      <c r="D2649" s="1290"/>
    </row>
    <row r="2650" ht="15">
      <c r="D2650" s="1290"/>
    </row>
    <row r="2651" ht="15">
      <c r="D2651" s="1290"/>
    </row>
    <row r="2652" ht="15">
      <c r="D2652" s="1290"/>
    </row>
    <row r="2653" ht="15">
      <c r="D2653" s="1290"/>
    </row>
    <row r="2654" ht="15">
      <c r="D2654" s="1290"/>
    </row>
    <row r="2655" ht="15">
      <c r="D2655" s="1290"/>
    </row>
    <row r="2656" ht="15">
      <c r="D2656" s="1290"/>
    </row>
    <row r="2657" ht="15">
      <c r="D2657" s="1290"/>
    </row>
    <row r="2658" ht="15">
      <c r="D2658" s="1290"/>
    </row>
    <row r="2659" ht="15">
      <c r="D2659" s="1290"/>
    </row>
    <row r="2660" ht="15">
      <c r="D2660" s="1290"/>
    </row>
    <row r="2661" ht="15">
      <c r="D2661" s="1290"/>
    </row>
    <row r="2662" ht="15">
      <c r="D2662" s="1290"/>
    </row>
    <row r="2663" ht="15">
      <c r="D2663" s="1290"/>
    </row>
    <row r="2664" ht="15">
      <c r="D2664" s="1290"/>
    </row>
    <row r="2665" ht="15">
      <c r="D2665" s="1290"/>
    </row>
    <row r="2666" ht="15">
      <c r="D2666" s="1290"/>
    </row>
    <row r="2667" ht="15">
      <c r="D2667" s="1290"/>
    </row>
    <row r="2668" ht="15">
      <c r="D2668" s="1290"/>
    </row>
    <row r="2669" ht="15">
      <c r="D2669" s="1290"/>
    </row>
    <row r="2670" ht="15">
      <c r="D2670" s="1290"/>
    </row>
    <row r="2671" ht="15">
      <c r="D2671" s="1290"/>
    </row>
    <row r="2672" ht="15">
      <c r="D2672" s="1290"/>
    </row>
    <row r="2673" ht="15">
      <c r="D2673" s="1290"/>
    </row>
    <row r="2674" ht="15">
      <c r="D2674" s="1290"/>
    </row>
    <row r="2675" ht="15">
      <c r="D2675" s="1290"/>
    </row>
    <row r="2676" ht="15">
      <c r="D2676" s="1290"/>
    </row>
    <row r="2677" ht="15">
      <c r="D2677" s="1290"/>
    </row>
    <row r="2678" ht="15">
      <c r="D2678" s="1290"/>
    </row>
    <row r="2679" ht="15">
      <c r="D2679" s="1290"/>
    </row>
    <row r="2680" ht="15">
      <c r="D2680" s="1290"/>
    </row>
    <row r="2681" ht="15">
      <c r="D2681" s="1290"/>
    </row>
    <row r="2682" ht="15">
      <c r="D2682" s="1290"/>
    </row>
    <row r="2683" ht="15">
      <c r="D2683" s="1290"/>
    </row>
    <row r="2684" ht="15">
      <c r="D2684" s="1290"/>
    </row>
    <row r="2685" ht="15">
      <c r="D2685" s="1290"/>
    </row>
    <row r="2686" ht="15">
      <c r="D2686" s="1290"/>
    </row>
    <row r="2687" ht="15">
      <c r="D2687" s="1290"/>
    </row>
    <row r="2688" ht="15">
      <c r="D2688" s="1290"/>
    </row>
    <row r="2689" ht="15">
      <c r="D2689" s="1290"/>
    </row>
    <row r="2690" ht="15">
      <c r="D2690" s="1290"/>
    </row>
    <row r="2691" ht="15">
      <c r="D2691" s="1290"/>
    </row>
    <row r="2692" ht="15">
      <c r="D2692" s="1290"/>
    </row>
    <row r="2693" ht="15">
      <c r="D2693" s="1290"/>
    </row>
    <row r="2694" ht="15">
      <c r="D2694" s="1290"/>
    </row>
    <row r="2695" ht="15">
      <c r="D2695" s="1290"/>
    </row>
    <row r="2696" ht="15">
      <c r="D2696" s="1290"/>
    </row>
    <row r="2697" ht="15">
      <c r="D2697" s="1290"/>
    </row>
    <row r="2698" ht="15">
      <c r="D2698" s="1290"/>
    </row>
    <row r="2699" ht="15">
      <c r="D2699" s="1290"/>
    </row>
    <row r="2700" ht="15">
      <c r="D2700" s="1290"/>
    </row>
    <row r="2701" ht="15">
      <c r="D2701" s="1290"/>
    </row>
    <row r="2702" ht="15">
      <c r="D2702" s="1290"/>
    </row>
    <row r="2703" ht="15">
      <c r="D2703" s="1290"/>
    </row>
    <row r="2704" ht="15">
      <c r="D2704" s="1290"/>
    </row>
    <row r="2705" ht="15">
      <c r="D2705" s="1290"/>
    </row>
    <row r="2706" ht="15">
      <c r="D2706" s="1290"/>
    </row>
    <row r="2707" ht="15">
      <c r="D2707" s="1290"/>
    </row>
    <row r="2708" ht="15">
      <c r="D2708" s="1290"/>
    </row>
    <row r="2709" ht="15">
      <c r="D2709" s="1290"/>
    </row>
    <row r="2710" ht="15">
      <c r="D2710" s="1290"/>
    </row>
    <row r="2711" ht="15">
      <c r="D2711" s="1290"/>
    </row>
    <row r="2712" ht="15">
      <c r="D2712" s="1290"/>
    </row>
    <row r="2713" ht="15">
      <c r="D2713" s="1290"/>
    </row>
    <row r="2714" ht="15">
      <c r="D2714" s="1290"/>
    </row>
    <row r="2715" ht="15">
      <c r="D2715" s="1290"/>
    </row>
    <row r="2716" ht="15">
      <c r="D2716" s="1290"/>
    </row>
    <row r="2717" ht="15">
      <c r="D2717" s="1290"/>
    </row>
    <row r="2718" ht="15">
      <c r="D2718" s="1290"/>
    </row>
    <row r="2719" ht="15">
      <c r="D2719" s="1290"/>
    </row>
    <row r="2720" ht="15">
      <c r="D2720" s="1290"/>
    </row>
    <row r="2721" ht="15">
      <c r="D2721" s="1290"/>
    </row>
    <row r="2722" ht="15">
      <c r="D2722" s="1290"/>
    </row>
    <row r="2723" ht="15">
      <c r="D2723" s="1290"/>
    </row>
    <row r="2724" ht="15">
      <c r="D2724" s="1290"/>
    </row>
    <row r="2725" ht="15">
      <c r="D2725" s="1290"/>
    </row>
    <row r="2726" ht="15">
      <c r="D2726" s="1290"/>
    </row>
    <row r="2727" ht="15">
      <c r="D2727" s="1290"/>
    </row>
    <row r="2728" ht="15">
      <c r="D2728" s="1290"/>
    </row>
    <row r="2729" ht="15">
      <c r="D2729" s="1290"/>
    </row>
    <row r="2730" ht="15">
      <c r="D2730" s="1290"/>
    </row>
    <row r="2731" ht="15">
      <c r="D2731" s="1290"/>
    </row>
    <row r="2732" ht="15">
      <c r="D2732" s="1290"/>
    </row>
    <row r="2733" ht="15">
      <c r="D2733" s="1290"/>
    </row>
    <row r="2734" ht="15">
      <c r="D2734" s="1290"/>
    </row>
    <row r="2735" ht="15">
      <c r="D2735" s="1290"/>
    </row>
    <row r="2736" ht="15">
      <c r="D2736" s="1290"/>
    </row>
    <row r="2737" ht="15">
      <c r="D2737" s="1290"/>
    </row>
    <row r="2738" ht="15">
      <c r="D2738" s="1290"/>
    </row>
    <row r="2739" ht="15">
      <c r="D2739" s="1290"/>
    </row>
    <row r="2740" ht="15">
      <c r="D2740" s="1290"/>
    </row>
    <row r="2741" ht="15">
      <c r="D2741" s="1290"/>
    </row>
    <row r="2742" ht="15">
      <c r="D2742" s="1290"/>
    </row>
    <row r="2743" ht="15">
      <c r="D2743" s="1290"/>
    </row>
    <row r="2744" ht="15">
      <c r="D2744" s="1290"/>
    </row>
    <row r="2745" ht="15">
      <c r="D2745" s="1290"/>
    </row>
    <row r="2746" ht="15">
      <c r="D2746" s="1290"/>
    </row>
    <row r="2747" ht="15">
      <c r="D2747" s="1290"/>
    </row>
    <row r="2748" ht="15">
      <c r="D2748" s="1290"/>
    </row>
    <row r="2749" ht="15">
      <c r="D2749" s="1290"/>
    </row>
    <row r="2750" ht="15">
      <c r="D2750" s="1290"/>
    </row>
    <row r="2751" ht="15">
      <c r="D2751" s="1290"/>
    </row>
    <row r="2752" ht="15">
      <c r="D2752" s="1290"/>
    </row>
    <row r="2753" ht="15">
      <c r="D2753" s="1290"/>
    </row>
    <row r="2754" ht="15">
      <c r="D2754" s="1290"/>
    </row>
    <row r="2755" ht="15">
      <c r="D2755" s="1290"/>
    </row>
    <row r="2756" ht="15">
      <c r="D2756" s="1290"/>
    </row>
    <row r="2757" ht="15">
      <c r="D2757" s="1290"/>
    </row>
    <row r="2758" ht="15">
      <c r="D2758" s="1290"/>
    </row>
    <row r="2759" ht="15">
      <c r="D2759" s="1290"/>
    </row>
    <row r="2760" ht="15">
      <c r="D2760" s="1290"/>
    </row>
    <row r="2761" ht="15">
      <c r="D2761" s="1290"/>
    </row>
    <row r="2762" ht="15">
      <c r="D2762" s="1290"/>
    </row>
    <row r="2763" ht="15">
      <c r="D2763" s="1290"/>
    </row>
    <row r="2764" ht="15">
      <c r="D2764" s="1290"/>
    </row>
    <row r="2765" ht="15">
      <c r="D2765" s="1290"/>
    </row>
    <row r="2766" ht="15">
      <c r="D2766" s="1290"/>
    </row>
    <row r="2767" ht="15">
      <c r="D2767" s="1290"/>
    </row>
    <row r="2768" ht="15">
      <c r="D2768" s="1290"/>
    </row>
    <row r="2769" ht="15">
      <c r="D2769" s="1290"/>
    </row>
    <row r="2770" ht="15">
      <c r="D2770" s="1290"/>
    </row>
    <row r="2771" ht="15">
      <c r="D2771" s="1290"/>
    </row>
    <row r="2772" ht="15">
      <c r="D2772" s="1290"/>
    </row>
    <row r="2773" ht="15">
      <c r="D2773" s="1290"/>
    </row>
    <row r="2774" ht="15">
      <c r="D2774" s="1290"/>
    </row>
    <row r="2775" ht="15">
      <c r="D2775" s="1290"/>
    </row>
    <row r="2776" ht="15">
      <c r="D2776" s="1290"/>
    </row>
    <row r="2777" ht="15">
      <c r="D2777" s="1290"/>
    </row>
    <row r="2778" ht="15">
      <c r="D2778" s="1290"/>
    </row>
    <row r="2779" ht="15">
      <c r="D2779" s="1290"/>
    </row>
    <row r="2780" ht="15">
      <c r="D2780" s="1290"/>
    </row>
    <row r="2781" ht="15">
      <c r="D2781" s="1290"/>
    </row>
    <row r="2782" ht="15">
      <c r="D2782" s="1290"/>
    </row>
    <row r="2783" ht="15">
      <c r="D2783" s="1290"/>
    </row>
    <row r="2784" ht="15">
      <c r="D2784" s="1290"/>
    </row>
    <row r="2785" ht="15">
      <c r="D2785" s="1290"/>
    </row>
    <row r="2786" ht="15">
      <c r="D2786" s="1290"/>
    </row>
    <row r="2787" ht="15">
      <c r="D2787" s="1290"/>
    </row>
    <row r="2788" ht="15">
      <c r="D2788" s="1290"/>
    </row>
    <row r="2789" ht="15">
      <c r="D2789" s="1290"/>
    </row>
    <row r="2790" ht="15">
      <c r="D2790" s="1290"/>
    </row>
    <row r="2791" ht="15">
      <c r="D2791" s="1290"/>
    </row>
    <row r="2792" ht="15">
      <c r="D2792" s="1290"/>
    </row>
    <row r="2793" ht="15">
      <c r="D2793" s="1290"/>
    </row>
    <row r="2794" ht="15">
      <c r="D2794" s="1290"/>
    </row>
    <row r="2795" ht="15">
      <c r="D2795" s="1290"/>
    </row>
    <row r="2796" ht="15">
      <c r="D2796" s="1290"/>
    </row>
    <row r="2797" ht="15">
      <c r="D2797" s="1290"/>
    </row>
    <row r="2798" ht="15">
      <c r="D2798" s="1290"/>
    </row>
    <row r="2799" ht="15">
      <c r="D2799" s="1290"/>
    </row>
    <row r="2800" ht="15">
      <c r="D2800" s="1290"/>
    </row>
    <row r="2801" ht="15">
      <c r="D2801" s="1290"/>
    </row>
    <row r="2802" ht="15">
      <c r="D2802" s="1290"/>
    </row>
    <row r="2803" ht="15">
      <c r="D2803" s="1290"/>
    </row>
    <row r="2804" ht="15">
      <c r="D2804" s="1290"/>
    </row>
    <row r="2805" ht="15">
      <c r="D2805" s="1290"/>
    </row>
    <row r="2806" ht="15">
      <c r="D2806" s="1290"/>
    </row>
    <row r="2807" ht="15">
      <c r="D2807" s="1290"/>
    </row>
    <row r="2808" ht="15">
      <c r="D2808" s="1290"/>
    </row>
    <row r="2809" ht="15">
      <c r="D2809" s="1290"/>
    </row>
    <row r="2810" ht="15">
      <c r="D2810" s="1290"/>
    </row>
    <row r="2811" ht="15">
      <c r="D2811" s="1290"/>
    </row>
    <row r="2812" ht="15">
      <c r="D2812" s="1290"/>
    </row>
    <row r="2813" ht="15">
      <c r="D2813" s="1290"/>
    </row>
    <row r="2814" ht="15">
      <c r="D2814" s="1290"/>
    </row>
    <row r="2815" ht="15">
      <c r="D2815" s="1290"/>
    </row>
    <row r="2816" ht="15">
      <c r="D2816" s="1290"/>
    </row>
    <row r="2817" ht="15">
      <c r="D2817" s="1290"/>
    </row>
    <row r="2818" ht="15">
      <c r="D2818" s="1290"/>
    </row>
    <row r="2819" ht="15">
      <c r="D2819" s="1290"/>
    </row>
    <row r="2820" ht="15">
      <c r="D2820" s="1290"/>
    </row>
    <row r="2821" ht="15">
      <c r="D2821" s="1290"/>
    </row>
    <row r="2822" ht="15">
      <c r="D2822" s="1290"/>
    </row>
    <row r="2823" ht="15">
      <c r="D2823" s="1290"/>
    </row>
    <row r="2824" ht="15">
      <c r="D2824" s="1290"/>
    </row>
    <row r="2825" ht="15">
      <c r="D2825" s="1290"/>
    </row>
    <row r="2826" ht="15">
      <c r="D2826" s="1290"/>
    </row>
    <row r="2827" ht="15">
      <c r="D2827" s="1290"/>
    </row>
    <row r="2828" ht="15">
      <c r="D2828" s="1290"/>
    </row>
    <row r="2829" ht="15">
      <c r="D2829" s="1290"/>
    </row>
    <row r="2830" ht="15">
      <c r="D2830" s="1290"/>
    </row>
    <row r="2831" ht="15">
      <c r="D2831" s="1290"/>
    </row>
    <row r="2832" ht="15">
      <c r="D2832" s="1290"/>
    </row>
    <row r="2833" ht="15">
      <c r="D2833" s="1290"/>
    </row>
    <row r="2834" ht="15">
      <c r="D2834" s="1290"/>
    </row>
    <row r="2835" ht="15">
      <c r="D2835" s="1290"/>
    </row>
    <row r="2836" ht="15">
      <c r="D2836" s="1290"/>
    </row>
    <row r="2837" ht="15">
      <c r="D2837" s="1290"/>
    </row>
    <row r="2838" ht="15">
      <c r="D2838" s="1290"/>
    </row>
    <row r="2839" ht="15">
      <c r="D2839" s="1290"/>
    </row>
    <row r="2840" ht="15">
      <c r="D2840" s="1290"/>
    </row>
    <row r="2841" ht="15">
      <c r="D2841" s="1290"/>
    </row>
    <row r="2842" ht="15">
      <c r="D2842" s="1290"/>
    </row>
    <row r="2843" ht="15">
      <c r="D2843" s="1290"/>
    </row>
    <row r="2844" ht="15">
      <c r="D2844" s="1290"/>
    </row>
    <row r="2845" ht="15">
      <c r="D2845" s="1290"/>
    </row>
    <row r="2846" ht="15">
      <c r="D2846" s="1290"/>
    </row>
    <row r="2847" ht="15">
      <c r="D2847" s="1290"/>
    </row>
    <row r="2848" ht="15">
      <c r="D2848" s="1290"/>
    </row>
    <row r="2849" ht="15">
      <c r="D2849" s="1290"/>
    </row>
    <row r="2850" ht="15">
      <c r="D2850" s="1290"/>
    </row>
    <row r="2851" ht="15">
      <c r="D2851" s="1290"/>
    </row>
    <row r="2852" ht="15">
      <c r="D2852" s="1290"/>
    </row>
    <row r="2853" ht="15">
      <c r="D2853" s="1290"/>
    </row>
    <row r="2854" ht="15">
      <c r="D2854" s="1290"/>
    </row>
    <row r="2855" ht="15">
      <c r="D2855" s="1290"/>
    </row>
    <row r="2856" ht="15">
      <c r="D2856" s="1290"/>
    </row>
    <row r="2857" ht="15">
      <c r="D2857" s="1290"/>
    </row>
    <row r="2858" ht="15">
      <c r="D2858" s="1290"/>
    </row>
    <row r="2859" ht="15">
      <c r="D2859" s="1290"/>
    </row>
    <row r="2860" ht="15">
      <c r="D2860" s="1290"/>
    </row>
    <row r="2861" ht="15">
      <c r="D2861" s="1290"/>
    </row>
    <row r="2862" ht="15">
      <c r="D2862" s="1290"/>
    </row>
    <row r="2863" ht="15">
      <c r="D2863" s="1290"/>
    </row>
    <row r="2864" ht="15">
      <c r="D2864" s="1290"/>
    </row>
    <row r="2865" ht="15">
      <c r="D2865" s="1290"/>
    </row>
    <row r="2866" ht="15">
      <c r="D2866" s="1290"/>
    </row>
    <row r="2867" ht="15">
      <c r="D2867" s="1290"/>
    </row>
    <row r="2868" ht="15">
      <c r="D2868" s="1290"/>
    </row>
    <row r="2869" ht="15">
      <c r="D2869" s="1290"/>
    </row>
    <row r="2870" ht="15">
      <c r="D2870" s="1290"/>
    </row>
    <row r="2871" ht="15">
      <c r="D2871" s="1290"/>
    </row>
    <row r="2872" ht="15">
      <c r="D2872" s="1290"/>
    </row>
    <row r="2873" ht="15">
      <c r="D2873" s="1290"/>
    </row>
    <row r="2874" ht="15">
      <c r="D2874" s="1290"/>
    </row>
    <row r="2875" ht="15">
      <c r="D2875" s="1290"/>
    </row>
    <row r="2876" ht="15">
      <c r="D2876" s="1290"/>
    </row>
    <row r="2877" ht="15">
      <c r="D2877" s="1290"/>
    </row>
    <row r="2878" ht="15">
      <c r="D2878" s="1290"/>
    </row>
    <row r="2879" ht="15">
      <c r="D2879" s="1290"/>
    </row>
    <row r="2880" ht="15">
      <c r="D2880" s="1290"/>
    </row>
    <row r="2881" ht="15">
      <c r="D2881" s="1290"/>
    </row>
    <row r="2882" ht="15">
      <c r="D2882" s="1290"/>
    </row>
    <row r="2883" ht="15">
      <c r="D2883" s="1290"/>
    </row>
    <row r="2884" ht="15">
      <c r="D2884" s="1290"/>
    </row>
    <row r="2885" ht="15">
      <c r="D2885" s="1290"/>
    </row>
    <row r="2886" ht="15">
      <c r="D2886" s="1290"/>
    </row>
    <row r="2887" ht="15">
      <c r="D2887" s="1290"/>
    </row>
    <row r="2888" ht="15">
      <c r="D2888" s="1290"/>
    </row>
    <row r="2889" ht="15">
      <c r="D2889" s="1290"/>
    </row>
    <row r="2890" ht="15">
      <c r="D2890" s="1290"/>
    </row>
    <row r="2891" ht="15">
      <c r="D2891" s="1290"/>
    </row>
    <row r="2892" ht="15">
      <c r="D2892" s="1290"/>
    </row>
    <row r="2893" ht="15">
      <c r="D2893" s="1290"/>
    </row>
    <row r="2894" ht="15">
      <c r="D2894" s="1290"/>
    </row>
    <row r="2895" ht="15">
      <c r="D2895" s="1290"/>
    </row>
    <row r="2896" ht="15">
      <c r="D2896" s="1290"/>
    </row>
    <row r="2897" ht="15">
      <c r="D2897" s="1290"/>
    </row>
    <row r="2898" ht="15">
      <c r="D2898" s="1290"/>
    </row>
    <row r="2899" ht="15">
      <c r="D2899" s="1290"/>
    </row>
    <row r="2900" ht="15">
      <c r="D2900" s="1290"/>
    </row>
    <row r="2901" ht="15">
      <c r="D2901" s="1290"/>
    </row>
    <row r="2902" ht="15">
      <c r="D2902" s="1290"/>
    </row>
    <row r="2903" ht="15">
      <c r="D2903" s="1290"/>
    </row>
    <row r="2904" ht="15">
      <c r="D2904" s="1290"/>
    </row>
    <row r="2905" ht="15">
      <c r="D2905" s="1290"/>
    </row>
    <row r="2906" ht="15">
      <c r="D2906" s="1290"/>
    </row>
    <row r="2907" ht="15">
      <c r="D2907" s="1290"/>
    </row>
    <row r="2908" ht="15">
      <c r="D2908" s="1290"/>
    </row>
    <row r="2909" ht="15">
      <c r="D2909" s="1290"/>
    </row>
    <row r="2910" ht="15">
      <c r="D2910" s="1290"/>
    </row>
    <row r="2911" ht="15">
      <c r="D2911" s="1290"/>
    </row>
    <row r="2912" ht="15">
      <c r="D2912" s="1290"/>
    </row>
    <row r="2913" ht="15">
      <c r="D2913" s="1290"/>
    </row>
    <row r="2914" ht="15">
      <c r="D2914" s="1290"/>
    </row>
    <row r="2915" ht="15">
      <c r="D2915" s="1290"/>
    </row>
    <row r="2916" ht="15">
      <c r="D2916" s="1290"/>
    </row>
    <row r="2917" ht="15">
      <c r="D2917" s="1290"/>
    </row>
    <row r="2918" ht="15">
      <c r="D2918" s="1290"/>
    </row>
    <row r="2919" ht="15">
      <c r="D2919" s="1290"/>
    </row>
    <row r="2920" ht="15">
      <c r="D2920" s="1290"/>
    </row>
    <row r="2921" ht="15">
      <c r="D2921" s="1290"/>
    </row>
    <row r="2922" ht="15">
      <c r="D2922" s="1290"/>
    </row>
    <row r="2923" ht="15">
      <c r="D2923" s="1290"/>
    </row>
    <row r="2924" ht="15">
      <c r="D2924" s="1290"/>
    </row>
    <row r="2925" ht="15">
      <c r="D2925" s="1290"/>
    </row>
    <row r="2926" ht="15">
      <c r="D2926" s="1290"/>
    </row>
    <row r="2927" ht="15">
      <c r="D2927" s="1290"/>
    </row>
    <row r="2928" ht="15">
      <c r="D2928" s="1290"/>
    </row>
    <row r="2929" ht="15">
      <c r="D2929" s="1290"/>
    </row>
    <row r="2930" ht="15">
      <c r="D2930" s="1290"/>
    </row>
    <row r="2931" ht="15">
      <c r="D2931" s="1290"/>
    </row>
    <row r="2932" ht="15">
      <c r="D2932" s="1290"/>
    </row>
    <row r="2933" ht="15">
      <c r="D2933" s="1290"/>
    </row>
    <row r="2934" ht="15">
      <c r="D2934" s="1290"/>
    </row>
    <row r="2935" ht="15">
      <c r="D2935" s="1290"/>
    </row>
    <row r="2936" ht="15">
      <c r="D2936" s="1290"/>
    </row>
    <row r="2937" ht="15">
      <c r="D2937" s="1290"/>
    </row>
    <row r="2938" ht="15">
      <c r="D2938" s="1290"/>
    </row>
    <row r="2939" ht="15">
      <c r="D2939" s="1290"/>
    </row>
    <row r="2940" ht="15">
      <c r="D2940" s="1290"/>
    </row>
    <row r="2941" ht="15">
      <c r="D2941" s="1290"/>
    </row>
    <row r="2942" ht="15">
      <c r="D2942" s="1290"/>
    </row>
    <row r="2943" ht="15">
      <c r="D2943" s="1290"/>
    </row>
    <row r="2944" ht="15">
      <c r="D2944" s="1290"/>
    </row>
    <row r="2945" ht="15">
      <c r="D2945" s="1290"/>
    </row>
    <row r="2946" ht="15">
      <c r="D2946" s="1290"/>
    </row>
    <row r="2947" ht="15">
      <c r="D2947" s="1290"/>
    </row>
    <row r="2948" ht="15">
      <c r="D2948" s="1290"/>
    </row>
    <row r="2949" ht="15">
      <c r="D2949" s="1290"/>
    </row>
    <row r="2950" ht="15">
      <c r="D2950" s="1290"/>
    </row>
    <row r="2951" ht="15">
      <c r="D2951" s="1290"/>
    </row>
    <row r="2952" ht="15">
      <c r="D2952" s="1290"/>
    </row>
    <row r="2953" ht="15">
      <c r="D2953" s="1290"/>
    </row>
    <row r="2954" ht="15">
      <c r="D2954" s="1290"/>
    </row>
    <row r="2955" ht="15">
      <c r="D2955" s="1290"/>
    </row>
    <row r="2956" ht="15">
      <c r="D2956" s="1290"/>
    </row>
    <row r="2957" ht="15">
      <c r="D2957" s="1290"/>
    </row>
    <row r="2958" ht="15">
      <c r="D2958" s="1290"/>
    </row>
    <row r="2959" ht="15">
      <c r="D2959" s="1290"/>
    </row>
    <row r="2960" ht="15">
      <c r="D2960" s="1290"/>
    </row>
    <row r="2961" ht="15">
      <c r="D2961" s="1290"/>
    </row>
    <row r="2962" ht="15">
      <c r="D2962" s="1290"/>
    </row>
    <row r="2963" ht="15">
      <c r="D2963" s="1290"/>
    </row>
    <row r="2964" ht="15">
      <c r="D2964" s="1290"/>
    </row>
    <row r="2965" ht="15">
      <c r="D2965" s="1290"/>
    </row>
    <row r="2966" ht="15">
      <c r="D2966" s="1290"/>
    </row>
    <row r="2967" ht="15">
      <c r="D2967" s="1290"/>
    </row>
    <row r="2968" ht="15">
      <c r="D2968" s="1290"/>
    </row>
    <row r="2969" ht="15">
      <c r="D2969" s="1290"/>
    </row>
    <row r="2970" ht="15">
      <c r="D2970" s="1290"/>
    </row>
    <row r="2971" ht="15">
      <c r="D2971" s="1290"/>
    </row>
    <row r="2972" ht="15">
      <c r="D2972" s="1290"/>
    </row>
    <row r="2973" ht="15">
      <c r="D2973" s="1290"/>
    </row>
    <row r="2974" ht="15">
      <c r="D2974" s="1290"/>
    </row>
    <row r="2975" ht="15">
      <c r="D2975" s="1290"/>
    </row>
    <row r="2976" ht="15">
      <c r="D2976" s="1290"/>
    </row>
    <row r="2977" ht="15">
      <c r="D2977" s="1290"/>
    </row>
    <row r="2978" ht="15">
      <c r="D2978" s="1290"/>
    </row>
    <row r="2979" ht="15">
      <c r="D2979" s="1290"/>
    </row>
    <row r="2980" ht="15">
      <c r="D2980" s="1290"/>
    </row>
    <row r="2981" ht="15">
      <c r="D2981" s="1290"/>
    </row>
    <row r="2982" ht="15">
      <c r="D2982" s="1290"/>
    </row>
    <row r="2983" ht="15">
      <c r="D2983" s="1290"/>
    </row>
    <row r="2984" ht="15">
      <c r="D2984" s="1290"/>
    </row>
    <row r="2985" ht="15">
      <c r="D2985" s="1290"/>
    </row>
    <row r="2986" ht="15">
      <c r="D2986" s="1290"/>
    </row>
    <row r="2987" ht="15">
      <c r="D2987" s="1290"/>
    </row>
    <row r="2988" ht="15">
      <c r="D2988" s="1290"/>
    </row>
    <row r="2989" ht="15">
      <c r="D2989" s="1290"/>
    </row>
    <row r="2990" ht="15">
      <c r="D2990" s="1290"/>
    </row>
    <row r="2991" ht="15">
      <c r="D2991" s="1290"/>
    </row>
    <row r="2992" ht="15">
      <c r="D2992" s="1290"/>
    </row>
    <row r="2993" ht="15">
      <c r="D2993" s="1290"/>
    </row>
    <row r="2994" ht="15">
      <c r="D2994" s="1290"/>
    </row>
    <row r="2995" ht="15">
      <c r="D2995" s="1290"/>
    </row>
    <row r="2996" ht="15">
      <c r="D2996" s="1290"/>
    </row>
    <row r="2997" ht="15">
      <c r="D2997" s="1290"/>
    </row>
    <row r="2998" ht="15">
      <c r="D2998" s="1290"/>
    </row>
    <row r="2999" ht="15">
      <c r="D2999" s="1290"/>
    </row>
    <row r="3000" ht="15">
      <c r="D3000" s="1290"/>
    </row>
    <row r="3001" ht="15">
      <c r="D3001" s="1290"/>
    </row>
    <row r="3002" ht="15">
      <c r="D3002" s="1290"/>
    </row>
    <row r="3003" ht="15">
      <c r="D3003" s="1290"/>
    </row>
    <row r="3004" ht="15">
      <c r="D3004" s="1290"/>
    </row>
    <row r="3005" ht="15">
      <c r="D3005" s="1290"/>
    </row>
    <row r="3006" ht="15">
      <c r="D3006" s="1290"/>
    </row>
    <row r="3007" ht="15">
      <c r="D3007" s="1290"/>
    </row>
    <row r="3008" ht="15">
      <c r="D3008" s="1290"/>
    </row>
    <row r="3009" ht="15">
      <c r="D3009" s="1290"/>
    </row>
    <row r="3010" ht="15">
      <c r="D3010" s="1290"/>
    </row>
    <row r="3011" ht="15">
      <c r="D3011" s="1290"/>
    </row>
    <row r="3012" ht="15">
      <c r="D3012" s="1290"/>
    </row>
    <row r="3013" ht="15">
      <c r="D3013" s="1290"/>
    </row>
    <row r="3014" ht="15">
      <c r="D3014" s="1290"/>
    </row>
    <row r="3015" ht="15">
      <c r="D3015" s="1290"/>
    </row>
    <row r="3016" ht="15">
      <c r="D3016" s="1290"/>
    </row>
    <row r="3017" ht="15">
      <c r="D3017" s="1290"/>
    </row>
    <row r="3018" ht="15">
      <c r="D3018" s="1290"/>
    </row>
    <row r="3019" ht="15">
      <c r="D3019" s="1290"/>
    </row>
    <row r="3020" ht="15">
      <c r="D3020" s="1290"/>
    </row>
    <row r="3021" ht="15">
      <c r="D3021" s="1290"/>
    </row>
    <row r="3022" ht="15">
      <c r="D3022" s="1290"/>
    </row>
    <row r="3023" ht="15">
      <c r="D3023" s="1290"/>
    </row>
    <row r="3024" ht="15">
      <c r="D3024" s="1290"/>
    </row>
    <row r="3025" ht="15">
      <c r="D3025" s="1290"/>
    </row>
    <row r="3026" ht="15">
      <c r="D3026" s="1290"/>
    </row>
    <row r="3027" ht="15">
      <c r="D3027" s="1290"/>
    </row>
    <row r="3028" ht="15">
      <c r="D3028" s="1290"/>
    </row>
    <row r="3029" ht="15">
      <c r="D3029" s="1290"/>
    </row>
    <row r="3030" ht="15">
      <c r="D3030" s="1290"/>
    </row>
    <row r="3031" ht="15">
      <c r="D3031" s="1290"/>
    </row>
    <row r="3032" ht="15">
      <c r="D3032" s="1290"/>
    </row>
    <row r="3033" ht="15">
      <c r="D3033" s="1290"/>
    </row>
    <row r="3034" ht="15">
      <c r="D3034" s="1290"/>
    </row>
    <row r="3035" ht="15">
      <c r="D3035" s="1290"/>
    </row>
    <row r="3036" ht="15">
      <c r="D3036" s="1290"/>
    </row>
    <row r="3037" ht="15">
      <c r="D3037" s="1290"/>
    </row>
    <row r="3038" ht="15">
      <c r="D3038" s="1290"/>
    </row>
    <row r="3039" ht="15">
      <c r="D3039" s="1290"/>
    </row>
    <row r="3040" ht="15">
      <c r="D3040" s="1290"/>
    </row>
    <row r="3041" ht="15">
      <c r="D3041" s="1290"/>
    </row>
    <row r="3042" ht="15">
      <c r="D3042" s="1290"/>
    </row>
    <row r="3043" ht="15">
      <c r="D3043" s="1290"/>
    </row>
    <row r="3044" ht="15">
      <c r="D3044" s="1290"/>
    </row>
    <row r="3045" ht="15">
      <c r="D3045" s="1290"/>
    </row>
    <row r="3046" ht="15">
      <c r="D3046" s="1290"/>
    </row>
    <row r="3047" ht="15">
      <c r="D3047" s="1290"/>
    </row>
    <row r="3048" ht="15">
      <c r="D3048" s="1290"/>
    </row>
    <row r="3049" ht="15">
      <c r="D3049" s="1290"/>
    </row>
    <row r="3050" ht="15">
      <c r="D3050" s="1290"/>
    </row>
    <row r="3051" ht="15">
      <c r="D3051" s="1290"/>
    </row>
    <row r="3052" ht="15">
      <c r="D3052" s="1290"/>
    </row>
    <row r="3053" ht="15">
      <c r="D3053" s="1290"/>
    </row>
    <row r="3054" ht="15">
      <c r="D3054" s="1290"/>
    </row>
    <row r="3055" ht="15">
      <c r="D3055" s="1290"/>
    </row>
    <row r="3056" ht="15">
      <c r="D3056" s="1290"/>
    </row>
    <row r="3057" ht="15">
      <c r="D3057" s="1290"/>
    </row>
    <row r="3058" ht="15">
      <c r="D3058" s="1290"/>
    </row>
    <row r="3059" ht="15">
      <c r="D3059" s="1290"/>
    </row>
    <row r="3060" ht="15">
      <c r="D3060" s="1290"/>
    </row>
    <row r="3061" ht="15">
      <c r="D3061" s="1290"/>
    </row>
    <row r="3062" ht="15">
      <c r="D3062" s="1290"/>
    </row>
    <row r="3063" ht="15">
      <c r="D3063" s="1290"/>
    </row>
    <row r="3064" ht="15">
      <c r="D3064" s="1290"/>
    </row>
    <row r="3065" ht="15">
      <c r="D3065" s="1290"/>
    </row>
    <row r="3066" ht="15">
      <c r="D3066" s="1290"/>
    </row>
    <row r="3067" ht="15">
      <c r="D3067" s="1290"/>
    </row>
    <row r="3068" ht="15">
      <c r="D3068" s="1290"/>
    </row>
    <row r="3069" ht="15">
      <c r="D3069" s="1290"/>
    </row>
    <row r="3070" ht="15">
      <c r="D3070" s="1290"/>
    </row>
    <row r="3071" ht="15">
      <c r="D3071" s="1290"/>
    </row>
    <row r="3072" ht="15">
      <c r="D3072" s="1290"/>
    </row>
    <row r="3073" ht="15">
      <c r="D3073" s="1290"/>
    </row>
    <row r="3074" ht="15">
      <c r="D3074" s="1290"/>
    </row>
    <row r="3075" ht="15">
      <c r="D3075" s="1290"/>
    </row>
    <row r="3076" ht="15">
      <c r="D3076" s="1290"/>
    </row>
    <row r="3077" ht="15">
      <c r="D3077" s="1290"/>
    </row>
    <row r="3078" ht="15">
      <c r="D3078" s="1290"/>
    </row>
    <row r="3079" ht="15">
      <c r="D3079" s="1290"/>
    </row>
    <row r="3080" ht="15">
      <c r="D3080" s="1290"/>
    </row>
    <row r="3081" ht="15">
      <c r="D3081" s="1290"/>
    </row>
    <row r="3082" ht="15">
      <c r="D3082" s="1290"/>
    </row>
    <row r="3083" ht="15">
      <c r="D3083" s="1290"/>
    </row>
    <row r="3084" ht="15">
      <c r="D3084" s="1290"/>
    </row>
    <row r="3085" ht="15">
      <c r="D3085" s="1290"/>
    </row>
    <row r="3086" ht="15">
      <c r="D3086" s="1290"/>
    </row>
    <row r="3087" ht="15">
      <c r="D3087" s="1290"/>
    </row>
    <row r="3088" ht="15">
      <c r="D3088" s="1290"/>
    </row>
    <row r="3089" ht="15">
      <c r="D3089" s="1290"/>
    </row>
    <row r="3090" ht="15">
      <c r="D3090" s="1290"/>
    </row>
    <row r="3091" ht="15">
      <c r="D3091" s="1290"/>
    </row>
    <row r="3092" ht="15">
      <c r="D3092" s="1290"/>
    </row>
    <row r="3093" ht="15">
      <c r="D3093" s="1290"/>
    </row>
    <row r="3094" ht="15">
      <c r="D3094" s="1290"/>
    </row>
    <row r="3095" ht="15">
      <c r="D3095" s="1290"/>
    </row>
    <row r="3096" ht="15">
      <c r="D3096" s="1290"/>
    </row>
    <row r="3097" ht="15">
      <c r="D3097" s="1290"/>
    </row>
    <row r="3098" ht="15">
      <c r="D3098" s="1290"/>
    </row>
    <row r="3099" ht="15">
      <c r="D3099" s="1290"/>
    </row>
    <row r="3100" ht="15">
      <c r="D3100" s="1290"/>
    </row>
    <row r="3101" ht="15">
      <c r="D3101" s="1290"/>
    </row>
    <row r="3102" ht="15">
      <c r="D3102" s="1290"/>
    </row>
    <row r="3103" ht="15">
      <c r="D3103" s="1290"/>
    </row>
    <row r="3104" ht="15">
      <c r="D3104" s="1290"/>
    </row>
    <row r="3105" ht="15">
      <c r="D3105" s="1290"/>
    </row>
    <row r="3106" ht="15">
      <c r="D3106" s="1290"/>
    </row>
    <row r="3107" ht="15">
      <c r="D3107" s="1290"/>
    </row>
    <row r="3108" ht="15">
      <c r="D3108" s="1290"/>
    </row>
    <row r="3109" ht="15">
      <c r="D3109" s="1290"/>
    </row>
    <row r="3110" ht="15">
      <c r="D3110" s="1290"/>
    </row>
    <row r="3111" ht="15">
      <c r="D3111" s="1290"/>
    </row>
    <row r="3112" ht="15">
      <c r="D3112" s="1290"/>
    </row>
    <row r="3113" ht="15">
      <c r="D3113" s="1290"/>
    </row>
    <row r="3114" ht="15">
      <c r="D3114" s="1290"/>
    </row>
    <row r="3115" ht="15">
      <c r="D3115" s="1290"/>
    </row>
    <row r="3116" ht="15">
      <c r="D3116" s="1290"/>
    </row>
    <row r="3117" ht="15">
      <c r="D3117" s="1290"/>
    </row>
    <row r="3118" ht="15">
      <c r="D3118" s="1290"/>
    </row>
    <row r="3119" ht="15">
      <c r="D3119" s="1290"/>
    </row>
    <row r="3120" ht="15">
      <c r="D3120" s="1290"/>
    </row>
    <row r="3121" ht="15">
      <c r="D3121" s="1290"/>
    </row>
    <row r="3122" ht="15">
      <c r="D3122" s="1290"/>
    </row>
    <row r="3123" ht="15">
      <c r="D3123" s="1290"/>
    </row>
    <row r="3124" ht="15">
      <c r="D3124" s="1290"/>
    </row>
    <row r="3125" ht="15">
      <c r="D3125" s="1290"/>
    </row>
    <row r="3126" ht="15">
      <c r="D3126" s="1290"/>
    </row>
    <row r="3127" ht="15">
      <c r="D3127" s="1290"/>
    </row>
    <row r="3128" ht="15">
      <c r="D3128" s="1290"/>
    </row>
    <row r="3129" ht="15">
      <c r="D3129" s="1290"/>
    </row>
    <row r="3130" ht="15">
      <c r="D3130" s="1290"/>
    </row>
    <row r="3131" ht="15">
      <c r="D3131" s="1290"/>
    </row>
    <row r="3132" ht="15">
      <c r="D3132" s="1290"/>
    </row>
    <row r="3133" ht="15">
      <c r="D3133" s="1290"/>
    </row>
    <row r="3134" ht="15">
      <c r="D3134" s="1290"/>
    </row>
    <row r="3135" ht="15">
      <c r="D3135" s="1290"/>
    </row>
    <row r="3136" ht="15">
      <c r="D3136" s="1290"/>
    </row>
    <row r="3137" ht="15">
      <c r="D3137" s="1290"/>
    </row>
    <row r="3138" ht="15">
      <c r="D3138" s="1290"/>
    </row>
    <row r="3139" ht="15">
      <c r="D3139" s="1290"/>
    </row>
    <row r="3140" ht="15">
      <c r="D3140" s="1290"/>
    </row>
    <row r="3141" ht="15">
      <c r="D3141" s="1290"/>
    </row>
    <row r="3142" ht="15">
      <c r="D3142" s="1290"/>
    </row>
    <row r="3143" ht="15">
      <c r="D3143" s="1290"/>
    </row>
    <row r="3144" ht="15">
      <c r="D3144" s="1290"/>
    </row>
    <row r="3145" ht="15">
      <c r="D3145" s="1290"/>
    </row>
    <row r="3146" ht="15">
      <c r="D3146" s="1290"/>
    </row>
    <row r="3147" ht="15">
      <c r="D3147" s="1290"/>
    </row>
    <row r="3148" ht="15">
      <c r="D3148" s="1290"/>
    </row>
    <row r="3149" ht="15">
      <c r="D3149" s="1290"/>
    </row>
    <row r="3150" ht="15">
      <c r="D3150" s="1290"/>
    </row>
    <row r="3151" ht="15">
      <c r="D3151" s="1290"/>
    </row>
    <row r="3152" ht="15">
      <c r="D3152" s="1290"/>
    </row>
    <row r="3153" ht="15">
      <c r="D3153" s="1290"/>
    </row>
    <row r="3154" ht="15">
      <c r="D3154" s="1290"/>
    </row>
    <row r="3155" ht="15">
      <c r="D3155" s="1290"/>
    </row>
    <row r="3156" ht="15">
      <c r="D3156" s="1290"/>
    </row>
    <row r="3157" ht="15">
      <c r="D3157" s="1290"/>
    </row>
    <row r="3158" ht="15">
      <c r="D3158" s="1290"/>
    </row>
    <row r="3159" ht="15">
      <c r="D3159" s="1290"/>
    </row>
    <row r="3160" ht="15">
      <c r="D3160" s="1290"/>
    </row>
    <row r="3161" ht="15">
      <c r="D3161" s="1290"/>
    </row>
    <row r="3162" ht="15">
      <c r="D3162" s="1290"/>
    </row>
    <row r="3163" ht="15">
      <c r="D3163" s="1290"/>
    </row>
    <row r="3164" ht="15">
      <c r="D3164" s="1290"/>
    </row>
    <row r="3165" ht="15">
      <c r="D3165" s="1290"/>
    </row>
    <row r="3166" ht="15">
      <c r="D3166" s="1290"/>
    </row>
    <row r="3167" ht="15">
      <c r="D3167" s="1290"/>
    </row>
    <row r="3168" ht="15">
      <c r="D3168" s="1290"/>
    </row>
    <row r="3169" ht="15">
      <c r="D3169" s="1290"/>
    </row>
    <row r="3170" ht="15">
      <c r="D3170" s="1290"/>
    </row>
    <row r="3171" ht="15">
      <c r="D3171" s="1290"/>
    </row>
    <row r="3172" ht="15">
      <c r="D3172" s="1290"/>
    </row>
    <row r="3173" ht="15">
      <c r="D3173" s="1290"/>
    </row>
    <row r="3174" ht="15">
      <c r="D3174" s="1290"/>
    </row>
    <row r="3175" ht="15">
      <c r="D3175" s="1290"/>
    </row>
    <row r="3176" ht="15">
      <c r="D3176" s="1290"/>
    </row>
    <row r="3177" ht="15">
      <c r="D3177" s="1290"/>
    </row>
    <row r="3178" ht="15">
      <c r="D3178" s="1290"/>
    </row>
    <row r="3179" ht="15">
      <c r="D3179" s="1290"/>
    </row>
    <row r="3180" ht="15">
      <c r="D3180" s="1290"/>
    </row>
    <row r="3181" ht="15">
      <c r="D3181" s="1290"/>
    </row>
    <row r="3182" ht="15">
      <c r="D3182" s="1290"/>
    </row>
    <row r="3183" ht="15">
      <c r="D3183" s="1290"/>
    </row>
    <row r="3184" ht="15">
      <c r="D3184" s="1290"/>
    </row>
    <row r="3185" ht="15">
      <c r="D3185" s="1290"/>
    </row>
    <row r="3186" ht="15">
      <c r="D3186" s="1290"/>
    </row>
    <row r="3187" ht="15">
      <c r="D3187" s="1290"/>
    </row>
    <row r="3188" ht="15">
      <c r="D3188" s="1290"/>
    </row>
    <row r="3189" ht="15">
      <c r="D3189" s="1290"/>
    </row>
    <row r="3190" ht="15">
      <c r="D3190" s="1290"/>
    </row>
    <row r="3191" ht="15">
      <c r="D3191" s="1290"/>
    </row>
    <row r="3192" ht="15">
      <c r="D3192" s="1290"/>
    </row>
    <row r="3193" ht="15">
      <c r="D3193" s="1290"/>
    </row>
    <row r="3194" ht="15">
      <c r="D3194" s="1290"/>
    </row>
    <row r="3195" ht="15">
      <c r="D3195" s="1290"/>
    </row>
    <row r="3196" ht="15">
      <c r="D3196" s="1290"/>
    </row>
    <row r="3197" ht="15">
      <c r="D3197" s="1290"/>
    </row>
    <row r="3198" ht="15">
      <c r="D3198" s="1290"/>
    </row>
    <row r="3199" ht="15">
      <c r="D3199" s="1290"/>
    </row>
    <row r="3200" ht="15">
      <c r="D3200" s="1290"/>
    </row>
    <row r="3201" ht="15">
      <c r="D3201" s="1290"/>
    </row>
    <row r="3202" ht="15">
      <c r="D3202" s="1290"/>
    </row>
    <row r="3203" ht="15">
      <c r="D3203" s="1290"/>
    </row>
    <row r="3204" ht="15">
      <c r="D3204" s="1290"/>
    </row>
    <row r="3205" ht="15">
      <c r="D3205" s="1290"/>
    </row>
    <row r="3206" ht="15">
      <c r="D3206" s="1290"/>
    </row>
    <row r="3207" ht="15">
      <c r="D3207" s="1290"/>
    </row>
    <row r="3208" ht="15">
      <c r="D3208" s="1290"/>
    </row>
    <row r="3209" ht="15">
      <c r="D3209" s="1290"/>
    </row>
    <row r="3210" ht="15">
      <c r="D3210" s="1290"/>
    </row>
    <row r="3211" ht="15">
      <c r="D3211" s="1290"/>
    </row>
    <row r="3212" ht="15">
      <c r="D3212" s="1290"/>
    </row>
    <row r="3213" ht="15">
      <c r="D3213" s="1290"/>
    </row>
    <row r="3214" ht="15">
      <c r="D3214" s="1290"/>
    </row>
    <row r="3215" ht="15">
      <c r="D3215" s="1290"/>
    </row>
    <row r="3216" ht="15">
      <c r="D3216" s="1290"/>
    </row>
    <row r="3217" ht="15">
      <c r="D3217" s="1290"/>
    </row>
    <row r="3218" ht="15">
      <c r="D3218" s="1290"/>
    </row>
    <row r="3219" ht="15">
      <c r="D3219" s="1290"/>
    </row>
    <row r="3220" ht="15">
      <c r="D3220" s="1290"/>
    </row>
    <row r="3221" ht="15">
      <c r="D3221" s="1290"/>
    </row>
    <row r="3222" ht="15">
      <c r="D3222" s="1290"/>
    </row>
    <row r="3223" ht="15">
      <c r="D3223" s="1290"/>
    </row>
    <row r="3224" ht="15">
      <c r="D3224" s="1290"/>
    </row>
    <row r="3225" ht="15">
      <c r="D3225" s="1290"/>
    </row>
    <row r="3226" ht="15">
      <c r="D3226" s="1290"/>
    </row>
    <row r="3227" ht="15">
      <c r="D3227" s="1290"/>
    </row>
    <row r="3228" ht="15">
      <c r="D3228" s="1290"/>
    </row>
    <row r="3229" ht="15">
      <c r="D3229" s="1290"/>
    </row>
    <row r="3230" ht="15">
      <c r="D3230" s="1290"/>
    </row>
    <row r="3231" ht="15">
      <c r="D3231" s="1290"/>
    </row>
    <row r="3232" ht="15">
      <c r="D3232" s="1290"/>
    </row>
    <row r="3233" ht="15">
      <c r="D3233" s="1290"/>
    </row>
    <row r="3234" ht="15">
      <c r="D3234" s="1290"/>
    </row>
    <row r="3235" ht="15">
      <c r="D3235" s="1290"/>
    </row>
    <row r="3236" ht="15">
      <c r="D3236" s="1290"/>
    </row>
    <row r="3237" ht="15">
      <c r="D3237" s="1290"/>
    </row>
    <row r="3238" ht="15">
      <c r="D3238" s="1290"/>
    </row>
    <row r="3239" ht="15">
      <c r="D3239" s="1290"/>
    </row>
    <row r="3240" ht="15">
      <c r="D3240" s="1290"/>
    </row>
    <row r="3241" ht="15">
      <c r="D3241" s="1290"/>
    </row>
    <row r="3242" ht="15">
      <c r="D3242" s="1290"/>
    </row>
    <row r="3243" ht="15">
      <c r="D3243" s="1290"/>
    </row>
    <row r="3244" ht="15">
      <c r="D3244" s="1290"/>
    </row>
    <row r="3245" ht="15">
      <c r="D3245" s="1290"/>
    </row>
    <row r="3246" ht="15">
      <c r="D3246" s="1290"/>
    </row>
    <row r="3247" ht="15">
      <c r="D3247" s="1290"/>
    </row>
    <row r="3248" ht="15">
      <c r="D3248" s="1290"/>
    </row>
    <row r="3249" ht="15">
      <c r="D3249" s="1290"/>
    </row>
    <row r="3250" ht="15">
      <c r="D3250" s="1290"/>
    </row>
    <row r="3251" ht="15">
      <c r="D3251" s="1290"/>
    </row>
    <row r="3252" ht="15">
      <c r="D3252" s="1290"/>
    </row>
    <row r="3253" ht="15">
      <c r="D3253" s="1290"/>
    </row>
    <row r="3254" ht="15">
      <c r="D3254" s="1290"/>
    </row>
    <row r="3255" ht="15">
      <c r="D3255" s="1290"/>
    </row>
    <row r="3256" ht="15">
      <c r="D3256" s="1290"/>
    </row>
    <row r="3257" ht="15">
      <c r="D3257" s="1290"/>
    </row>
    <row r="3258" ht="15">
      <c r="D3258" s="1290"/>
    </row>
    <row r="3259" ht="15">
      <c r="D3259" s="1290"/>
    </row>
    <row r="3260" ht="15">
      <c r="D3260" s="1290"/>
    </row>
    <row r="3261" ht="15">
      <c r="D3261" s="1290"/>
    </row>
    <row r="3262" ht="15">
      <c r="D3262" s="1290"/>
    </row>
    <row r="3263" ht="15">
      <c r="D3263" s="1290"/>
    </row>
    <row r="3264" ht="15">
      <c r="D3264" s="1290"/>
    </row>
    <row r="3265" ht="15">
      <c r="D3265" s="1290"/>
    </row>
    <row r="3266" ht="15">
      <c r="D3266" s="1290"/>
    </row>
    <row r="3267" ht="15">
      <c r="D3267" s="1290"/>
    </row>
    <row r="3268" ht="15">
      <c r="D3268" s="1290"/>
    </row>
    <row r="3269" ht="15">
      <c r="D3269" s="1290"/>
    </row>
    <row r="3270" ht="15">
      <c r="D3270" s="1290"/>
    </row>
    <row r="3271" ht="15">
      <c r="D3271" s="1290"/>
    </row>
    <row r="3272" ht="15">
      <c r="D3272" s="1290"/>
    </row>
    <row r="3273" ht="15">
      <c r="D3273" s="1290"/>
    </row>
    <row r="3274" ht="15">
      <c r="D3274" s="1290"/>
    </row>
    <row r="3275" ht="15">
      <c r="D3275" s="1290"/>
    </row>
    <row r="3276" ht="15">
      <c r="D3276" s="1290"/>
    </row>
    <row r="3277" ht="15">
      <c r="D3277" s="1290"/>
    </row>
    <row r="3278" ht="15">
      <c r="D3278" s="1290"/>
    </row>
    <row r="3279" ht="15">
      <c r="D3279" s="1290"/>
    </row>
    <row r="3280" ht="15">
      <c r="D3280" s="1290"/>
    </row>
    <row r="3281" ht="15">
      <c r="D3281" s="1290"/>
    </row>
    <row r="3282" ht="15">
      <c r="D3282" s="1290"/>
    </row>
    <row r="3283" ht="15">
      <c r="D3283" s="1290"/>
    </row>
    <row r="3284" ht="15">
      <c r="D3284" s="1290"/>
    </row>
    <row r="3285" ht="15">
      <c r="D3285" s="1290"/>
    </row>
    <row r="3286" ht="15">
      <c r="D3286" s="1290"/>
    </row>
    <row r="3287" ht="15">
      <c r="D3287" s="1290"/>
    </row>
    <row r="3288" ht="15">
      <c r="D3288" s="1290"/>
    </row>
    <row r="3289" ht="15">
      <c r="D3289" s="1290"/>
    </row>
    <row r="3290" ht="15">
      <c r="D3290" s="1290"/>
    </row>
    <row r="3291" ht="15">
      <c r="D3291" s="1290"/>
    </row>
    <row r="3292" ht="15">
      <c r="D3292" s="1290"/>
    </row>
    <row r="3293" ht="15">
      <c r="D3293" s="1290"/>
    </row>
    <row r="3294" ht="15">
      <c r="D3294" s="1290"/>
    </row>
    <row r="3295" ht="15">
      <c r="D3295" s="1290"/>
    </row>
    <row r="3296" ht="15">
      <c r="D3296" s="1290"/>
    </row>
    <row r="3297" ht="15">
      <c r="D3297" s="1290"/>
    </row>
    <row r="3298" ht="15">
      <c r="D3298" s="1290"/>
    </row>
    <row r="3299" ht="15">
      <c r="D3299" s="1290"/>
    </row>
    <row r="3300" ht="15">
      <c r="D3300" s="1290"/>
    </row>
    <row r="3301" ht="15">
      <c r="D3301" s="1290"/>
    </row>
    <row r="3302" ht="15">
      <c r="D3302" s="1290"/>
    </row>
    <row r="3303" ht="15">
      <c r="D3303" s="1290"/>
    </row>
    <row r="3304" ht="15">
      <c r="D3304" s="1290"/>
    </row>
    <row r="3305" ht="15">
      <c r="D3305" s="1290"/>
    </row>
    <row r="3306" ht="15">
      <c r="D3306" s="1290"/>
    </row>
    <row r="3307" ht="15">
      <c r="D3307" s="1290"/>
    </row>
    <row r="3308" ht="15">
      <c r="D3308" s="1290"/>
    </row>
    <row r="3309" ht="15">
      <c r="D3309" s="1290"/>
    </row>
    <row r="3310" ht="15">
      <c r="D3310" s="1290"/>
    </row>
    <row r="3311" ht="15">
      <c r="D3311" s="1290"/>
    </row>
    <row r="3312" ht="15">
      <c r="D3312" s="1290"/>
    </row>
    <row r="3313" ht="15">
      <c r="D3313" s="1290"/>
    </row>
    <row r="3314" ht="15">
      <c r="D3314" s="1290"/>
    </row>
    <row r="3315" ht="15">
      <c r="D3315" s="1290"/>
    </row>
    <row r="3316" ht="15">
      <c r="D3316" s="1290"/>
    </row>
    <row r="3317" ht="15">
      <c r="D3317" s="1290"/>
    </row>
    <row r="3318" ht="15">
      <c r="D3318" s="1290"/>
    </row>
    <row r="3319" ht="15">
      <c r="D3319" s="1290"/>
    </row>
    <row r="3320" ht="15">
      <c r="D3320" s="1290"/>
    </row>
    <row r="3321" ht="15">
      <c r="D3321" s="1290"/>
    </row>
    <row r="3322" ht="15">
      <c r="D3322" s="1290"/>
    </row>
    <row r="3323" ht="15">
      <c r="D3323" s="1290"/>
    </row>
    <row r="3324" ht="15">
      <c r="D3324" s="1290"/>
    </row>
    <row r="3325" ht="15">
      <c r="D3325" s="1290"/>
    </row>
    <row r="3326" ht="15">
      <c r="D3326" s="1290"/>
    </row>
    <row r="3327" ht="15">
      <c r="D3327" s="1290"/>
    </row>
    <row r="3328" ht="15">
      <c r="D3328" s="1290"/>
    </row>
    <row r="3329" ht="15">
      <c r="D3329" s="1290"/>
    </row>
    <row r="3330" ht="15">
      <c r="D3330" s="1290"/>
    </row>
    <row r="3331" ht="15">
      <c r="D3331" s="1290"/>
    </row>
    <row r="3332" ht="15">
      <c r="D3332" s="1290"/>
    </row>
    <row r="3333" ht="15">
      <c r="D3333" s="1290"/>
    </row>
    <row r="3334" ht="15">
      <c r="D3334" s="1290"/>
    </row>
    <row r="3335" ht="15">
      <c r="D3335" s="1290"/>
    </row>
    <row r="3336" ht="15">
      <c r="D3336" s="1290"/>
    </row>
    <row r="3337" ht="15">
      <c r="D3337" s="1290"/>
    </row>
    <row r="3338" ht="15">
      <c r="D3338" s="1290"/>
    </row>
    <row r="3339" ht="15">
      <c r="D3339" s="1290"/>
    </row>
    <row r="3340" ht="15">
      <c r="D3340" s="1290"/>
    </row>
    <row r="3341" ht="15">
      <c r="D3341" s="1290"/>
    </row>
    <row r="3342" ht="15">
      <c r="D3342" s="1290"/>
    </row>
    <row r="3343" ht="15">
      <c r="D3343" s="1290"/>
    </row>
    <row r="3344" ht="15">
      <c r="D3344" s="1290"/>
    </row>
    <row r="3345" ht="15">
      <c r="D3345" s="1290"/>
    </row>
    <row r="3346" ht="15">
      <c r="D3346" s="1290"/>
    </row>
    <row r="3347" ht="15">
      <c r="D3347" s="1290"/>
    </row>
    <row r="3348" ht="15">
      <c r="D3348" s="1290"/>
    </row>
    <row r="3349" ht="15">
      <c r="D3349" s="1290"/>
    </row>
    <row r="3350" ht="15">
      <c r="D3350" s="1290"/>
    </row>
    <row r="3351" ht="15">
      <c r="D3351" s="1290"/>
    </row>
    <row r="3352" ht="15">
      <c r="D3352" s="1290"/>
    </row>
    <row r="3353" ht="15">
      <c r="D3353" s="1290"/>
    </row>
    <row r="3354" ht="15">
      <c r="D3354" s="1290"/>
    </row>
    <row r="3355" ht="15">
      <c r="D3355" s="1290"/>
    </row>
    <row r="3356" ht="15">
      <c r="D3356" s="1290"/>
    </row>
    <row r="3357" ht="15">
      <c r="D3357" s="1290"/>
    </row>
    <row r="3358" ht="15">
      <c r="D3358" s="1290"/>
    </row>
    <row r="3359" ht="15">
      <c r="D3359" s="1290"/>
    </row>
    <row r="3360" ht="15">
      <c r="D3360" s="1290"/>
    </row>
    <row r="3361" ht="15">
      <c r="D3361" s="1290"/>
    </row>
    <row r="3362" ht="15">
      <c r="D3362" s="1290"/>
    </row>
    <row r="3363" ht="15">
      <c r="D3363" s="1290"/>
    </row>
    <row r="3364" ht="15">
      <c r="D3364" s="1290"/>
    </row>
    <row r="3365" ht="15">
      <c r="D3365" s="1290"/>
    </row>
    <row r="3366" ht="15">
      <c r="D3366" s="1290"/>
    </row>
    <row r="3367" ht="15">
      <c r="D3367" s="1290"/>
    </row>
    <row r="3368" ht="15">
      <c r="D3368" s="1290"/>
    </row>
    <row r="3369" ht="15">
      <c r="D3369" s="1290"/>
    </row>
    <row r="3370" ht="15">
      <c r="D3370" s="1290"/>
    </row>
    <row r="3371" ht="15">
      <c r="D3371" s="1290"/>
    </row>
    <row r="3372" ht="15">
      <c r="D3372" s="1290"/>
    </row>
    <row r="3373" ht="15">
      <c r="D3373" s="1290"/>
    </row>
    <row r="3374" ht="15">
      <c r="D3374" s="1290"/>
    </row>
    <row r="3375" ht="15">
      <c r="D3375" s="1290"/>
    </row>
    <row r="3376" ht="15">
      <c r="D3376" s="1290"/>
    </row>
    <row r="3377" ht="15">
      <c r="D3377" s="1290"/>
    </row>
    <row r="3378" ht="15">
      <c r="D3378" s="1290"/>
    </row>
    <row r="3379" ht="15">
      <c r="D3379" s="1290"/>
    </row>
    <row r="3380" ht="15">
      <c r="D3380" s="1290"/>
    </row>
    <row r="3381" ht="15">
      <c r="D3381" s="1290"/>
    </row>
    <row r="3382" ht="15">
      <c r="D3382" s="1290"/>
    </row>
    <row r="3383" ht="15">
      <c r="D3383" s="1290"/>
    </row>
    <row r="3384" ht="15">
      <c r="D3384" s="1290"/>
    </row>
    <row r="3385" ht="15">
      <c r="D3385" s="1290"/>
    </row>
    <row r="3386" ht="15">
      <c r="D3386" s="1290"/>
    </row>
    <row r="3387" ht="15">
      <c r="D3387" s="1290"/>
    </row>
    <row r="3388" ht="15">
      <c r="D3388" s="1290"/>
    </row>
    <row r="3389" ht="15">
      <c r="D3389" s="1290"/>
    </row>
    <row r="3390" ht="15">
      <c r="D3390" s="1290"/>
    </row>
    <row r="3391" ht="15">
      <c r="D3391" s="1290"/>
    </row>
    <row r="3392" ht="15">
      <c r="D3392" s="1290"/>
    </row>
    <row r="3393" ht="15">
      <c r="D3393" s="1290"/>
    </row>
    <row r="3394" ht="15">
      <c r="D3394" s="1290"/>
    </row>
    <row r="3395" ht="15">
      <c r="D3395" s="1290"/>
    </row>
    <row r="3396" ht="15">
      <c r="D3396" s="1290"/>
    </row>
    <row r="3397" ht="15">
      <c r="D3397" s="1290"/>
    </row>
    <row r="3398" ht="15">
      <c r="D3398" s="1290"/>
    </row>
    <row r="3399" ht="15">
      <c r="D3399" s="1290"/>
    </row>
    <row r="3400" ht="15">
      <c r="D3400" s="1290"/>
    </row>
    <row r="3401" ht="15">
      <c r="D3401" s="1290"/>
    </row>
    <row r="3402" ht="15">
      <c r="D3402" s="1290"/>
    </row>
    <row r="3403" ht="15">
      <c r="D3403" s="1290"/>
    </row>
    <row r="3404" ht="15">
      <c r="D3404" s="1290"/>
    </row>
    <row r="3405" ht="15">
      <c r="D3405" s="1290"/>
    </row>
    <row r="3406" ht="15">
      <c r="D3406" s="1290"/>
    </row>
    <row r="3407" ht="15">
      <c r="D3407" s="1290"/>
    </row>
    <row r="3408" ht="15">
      <c r="D3408" s="1290"/>
    </row>
    <row r="3409" ht="15">
      <c r="D3409" s="1290"/>
    </row>
    <row r="3410" ht="15">
      <c r="D3410" s="1290"/>
    </row>
    <row r="3411" ht="15">
      <c r="D3411" s="1290"/>
    </row>
    <row r="3412" ht="15">
      <c r="D3412" s="1290"/>
    </row>
    <row r="3413" ht="15">
      <c r="D3413" s="1290"/>
    </row>
    <row r="3414" ht="15">
      <c r="D3414" s="1290"/>
    </row>
    <row r="3415" ht="15">
      <c r="D3415" s="1290"/>
    </row>
    <row r="3416" ht="15">
      <c r="D3416" s="1290"/>
    </row>
    <row r="3417" ht="15">
      <c r="D3417" s="1290"/>
    </row>
    <row r="3418" ht="15">
      <c r="D3418" s="1290"/>
    </row>
    <row r="3419" ht="15">
      <c r="D3419" s="1290"/>
    </row>
    <row r="3420" ht="15">
      <c r="D3420" s="1290"/>
    </row>
    <row r="3421" ht="15">
      <c r="D3421" s="1290"/>
    </row>
    <row r="3422" ht="15">
      <c r="D3422" s="1290"/>
    </row>
    <row r="3423" ht="15">
      <c r="D3423" s="1290"/>
    </row>
    <row r="3424" ht="15">
      <c r="D3424" s="1290"/>
    </row>
    <row r="3425" ht="15">
      <c r="D3425" s="1290"/>
    </row>
    <row r="3426" ht="15">
      <c r="D3426" s="1290"/>
    </row>
    <row r="3427" ht="15">
      <c r="D3427" s="1290"/>
    </row>
    <row r="3428" ht="15">
      <c r="D3428" s="1290"/>
    </row>
    <row r="3429" ht="15">
      <c r="D3429" s="1290"/>
    </row>
    <row r="3430" ht="15">
      <c r="D3430" s="1290"/>
    </row>
    <row r="3431" ht="15">
      <c r="D3431" s="1290"/>
    </row>
    <row r="3432" ht="15">
      <c r="D3432" s="1290"/>
    </row>
    <row r="3433" ht="15">
      <c r="D3433" s="1290"/>
    </row>
    <row r="3434" ht="15">
      <c r="D3434" s="1290"/>
    </row>
    <row r="3435" ht="15">
      <c r="D3435" s="1290"/>
    </row>
    <row r="3436" ht="15">
      <c r="D3436" s="1290"/>
    </row>
    <row r="3437" ht="15">
      <c r="D3437" s="1290"/>
    </row>
    <row r="3438" ht="15">
      <c r="D3438" s="1290"/>
    </row>
    <row r="3439" ht="15">
      <c r="D3439" s="1290"/>
    </row>
    <row r="3440" ht="15">
      <c r="D3440" s="1290"/>
    </row>
    <row r="3441" ht="15">
      <c r="D3441" s="1290"/>
    </row>
    <row r="3442" ht="15">
      <c r="D3442" s="1290"/>
    </row>
    <row r="3443" ht="15">
      <c r="D3443" s="1290"/>
    </row>
    <row r="3444" ht="15">
      <c r="D3444" s="1290"/>
    </row>
    <row r="3445" ht="15">
      <c r="D3445" s="1290"/>
    </row>
    <row r="3446" ht="15">
      <c r="D3446" s="1290"/>
    </row>
    <row r="3447" ht="15">
      <c r="D3447" s="1290"/>
    </row>
    <row r="3448" ht="15">
      <c r="D3448" s="1290"/>
    </row>
    <row r="3449" ht="15">
      <c r="D3449" s="1290"/>
    </row>
    <row r="3450" ht="15">
      <c r="D3450" s="1290"/>
    </row>
    <row r="3451" ht="15">
      <c r="D3451" s="1290"/>
    </row>
    <row r="3452" ht="15">
      <c r="D3452" s="1290"/>
    </row>
    <row r="3453" ht="15">
      <c r="D3453" s="1290"/>
    </row>
    <row r="3454" ht="15">
      <c r="D3454" s="1290"/>
    </row>
    <row r="3455" ht="15">
      <c r="D3455" s="1290"/>
    </row>
    <row r="3456" ht="15">
      <c r="D3456" s="1290"/>
    </row>
    <row r="3457" ht="15">
      <c r="D3457" s="1290"/>
    </row>
    <row r="3458" ht="15">
      <c r="D3458" s="1290"/>
    </row>
    <row r="3459" ht="15">
      <c r="D3459" s="1290"/>
    </row>
    <row r="3460" ht="15">
      <c r="D3460" s="1290"/>
    </row>
    <row r="3461" ht="15">
      <c r="D3461" s="1290"/>
    </row>
    <row r="3462" ht="15">
      <c r="D3462" s="1290"/>
    </row>
    <row r="3463" ht="15">
      <c r="D3463" s="1290"/>
    </row>
    <row r="3464" ht="15">
      <c r="D3464" s="1290"/>
    </row>
    <row r="3465" ht="15">
      <c r="D3465" s="1290"/>
    </row>
    <row r="3466" ht="15">
      <c r="D3466" s="1290"/>
    </row>
    <row r="3467" ht="15">
      <c r="D3467" s="1290"/>
    </row>
    <row r="3468" ht="15">
      <c r="D3468" s="1290"/>
    </row>
    <row r="3469" ht="15">
      <c r="D3469" s="1290"/>
    </row>
    <row r="3470" ht="15">
      <c r="D3470" s="1290"/>
    </row>
    <row r="3471" ht="15">
      <c r="D3471" s="1290"/>
    </row>
    <row r="3472" ht="15">
      <c r="D3472" s="1290"/>
    </row>
    <row r="3473" ht="15">
      <c r="D3473" s="1290"/>
    </row>
    <row r="3474" ht="15">
      <c r="D3474" s="1290"/>
    </row>
    <row r="3475" ht="15">
      <c r="D3475" s="1290"/>
    </row>
    <row r="3476" ht="15">
      <c r="D3476" s="1290"/>
    </row>
    <row r="3477" ht="15">
      <c r="D3477" s="1290"/>
    </row>
    <row r="3478" ht="15">
      <c r="D3478" s="1290"/>
    </row>
    <row r="3479" ht="15">
      <c r="D3479" s="1290"/>
    </row>
    <row r="3480" ht="15">
      <c r="D3480" s="1290"/>
    </row>
    <row r="3481" ht="15">
      <c r="D3481" s="1290"/>
    </row>
    <row r="3482" ht="15">
      <c r="D3482" s="1290"/>
    </row>
    <row r="3483" ht="15">
      <c r="D3483" s="1290"/>
    </row>
    <row r="3484" ht="15">
      <c r="D3484" s="1290"/>
    </row>
    <row r="3485" ht="15">
      <c r="D3485" s="1290"/>
    </row>
    <row r="3486" ht="15">
      <c r="D3486" s="1290"/>
    </row>
    <row r="3487" ht="15">
      <c r="D3487" s="1290"/>
    </row>
    <row r="3488" ht="15">
      <c r="D3488" s="1290"/>
    </row>
    <row r="3489" ht="15">
      <c r="D3489" s="1290"/>
    </row>
    <row r="3490" ht="15">
      <c r="D3490" s="1290"/>
    </row>
    <row r="3491" ht="15">
      <c r="D3491" s="1290"/>
    </row>
    <row r="3492" ht="15">
      <c r="D3492" s="1290"/>
    </row>
    <row r="3493" ht="15">
      <c r="D3493" s="1290"/>
    </row>
    <row r="3494" ht="15">
      <c r="D3494" s="1290"/>
    </row>
    <row r="3495" ht="15">
      <c r="D3495" s="1290"/>
    </row>
    <row r="3496" ht="15">
      <c r="D3496" s="1290"/>
    </row>
    <row r="3497" ht="15">
      <c r="D3497" s="1290"/>
    </row>
    <row r="3498" ht="15">
      <c r="D3498" s="1290"/>
    </row>
    <row r="3499" ht="15">
      <c r="D3499" s="1290"/>
    </row>
    <row r="3500" ht="15">
      <c r="D3500" s="1290"/>
    </row>
    <row r="3501" ht="15">
      <c r="D3501" s="1290"/>
    </row>
    <row r="3502" ht="15">
      <c r="D3502" s="1290"/>
    </row>
    <row r="3503" ht="15">
      <c r="D3503" s="1290"/>
    </row>
    <row r="3504" ht="15">
      <c r="D3504" s="1290"/>
    </row>
    <row r="3505" ht="15">
      <c r="D3505" s="1290"/>
    </row>
    <row r="3506" ht="15">
      <c r="D3506" s="1290"/>
    </row>
    <row r="3507" ht="15">
      <c r="D3507" s="1290"/>
    </row>
    <row r="3508" ht="15">
      <c r="D3508" s="1290"/>
    </row>
    <row r="3509" ht="15">
      <c r="D3509" s="1290"/>
    </row>
    <row r="3510" ht="15">
      <c r="D3510" s="1290"/>
    </row>
    <row r="3511" ht="15">
      <c r="D3511" s="1290"/>
    </row>
    <row r="3512" ht="15">
      <c r="D3512" s="1290"/>
    </row>
    <row r="3513" ht="15">
      <c r="D3513" s="1290"/>
    </row>
    <row r="3514" ht="15">
      <c r="D3514" s="1290"/>
    </row>
    <row r="3515" ht="15">
      <c r="D3515" s="1290"/>
    </row>
    <row r="3516" ht="15">
      <c r="D3516" s="1290"/>
    </row>
    <row r="3517" ht="15">
      <c r="D3517" s="1290"/>
    </row>
    <row r="3518" ht="15">
      <c r="D3518" s="1290"/>
    </row>
    <row r="3519" ht="15">
      <c r="D3519" s="1290"/>
    </row>
    <row r="3520" ht="15">
      <c r="D3520" s="1290"/>
    </row>
    <row r="3521" ht="15">
      <c r="D3521" s="1290"/>
    </row>
    <row r="3522" ht="15">
      <c r="D3522" s="1290"/>
    </row>
    <row r="3523" ht="15">
      <c r="D3523" s="1290"/>
    </row>
    <row r="3524" ht="15">
      <c r="D3524" s="1290"/>
    </row>
    <row r="3525" ht="15">
      <c r="D3525" s="1290"/>
    </row>
    <row r="3526" ht="15">
      <c r="D3526" s="1290"/>
    </row>
    <row r="3527" ht="15">
      <c r="D3527" s="1290"/>
    </row>
    <row r="3528" ht="15">
      <c r="D3528" s="1290"/>
    </row>
    <row r="3529" ht="15">
      <c r="D3529" s="1290"/>
    </row>
    <row r="3530" ht="15">
      <c r="D3530" s="1290"/>
    </row>
    <row r="3531" ht="15">
      <c r="D3531" s="1290"/>
    </row>
    <row r="3532" ht="15">
      <c r="D3532" s="1290"/>
    </row>
    <row r="3533" ht="15">
      <c r="D3533" s="1290"/>
    </row>
    <row r="3534" ht="15">
      <c r="D3534" s="1290"/>
    </row>
    <row r="3535" ht="15">
      <c r="D3535" s="1290"/>
    </row>
    <row r="3536" ht="15">
      <c r="D3536" s="1290"/>
    </row>
    <row r="3537" ht="15">
      <c r="D3537" s="1290"/>
    </row>
    <row r="3538" ht="15">
      <c r="D3538" s="1290"/>
    </row>
    <row r="3539" ht="15">
      <c r="D3539" s="1290"/>
    </row>
    <row r="3540" ht="15">
      <c r="D3540" s="1290"/>
    </row>
    <row r="3541" ht="15">
      <c r="D3541" s="1290"/>
    </row>
    <row r="3542" ht="15">
      <c r="D3542" s="1290"/>
    </row>
    <row r="3543" ht="15">
      <c r="D3543" s="1290"/>
    </row>
    <row r="3544" ht="15">
      <c r="D3544" s="1290"/>
    </row>
    <row r="3545" ht="15">
      <c r="D3545" s="1290"/>
    </row>
    <row r="3546" ht="15">
      <c r="D3546" s="1290"/>
    </row>
    <row r="3547" ht="15">
      <c r="D3547" s="1290"/>
    </row>
    <row r="3548" ht="15">
      <c r="D3548" s="1290"/>
    </row>
    <row r="3549" ht="15">
      <c r="D3549" s="1290"/>
    </row>
    <row r="3550" ht="15">
      <c r="D3550" s="1290"/>
    </row>
    <row r="3551" ht="15">
      <c r="D3551" s="1290"/>
    </row>
    <row r="3552" ht="15">
      <c r="D3552" s="1290"/>
    </row>
    <row r="3553" ht="15">
      <c r="D3553" s="1290"/>
    </row>
    <row r="3554" ht="15">
      <c r="D3554" s="1290"/>
    </row>
    <row r="3555" ht="15">
      <c r="D3555" s="1290"/>
    </row>
    <row r="3556" ht="15">
      <c r="D3556" s="1290"/>
    </row>
    <row r="3557" ht="15">
      <c r="D3557" s="1290"/>
    </row>
    <row r="3558" ht="15">
      <c r="D3558" s="1290"/>
    </row>
    <row r="3559" ht="15">
      <c r="D3559" s="1290"/>
    </row>
    <row r="3560" ht="15">
      <c r="D3560" s="1290"/>
    </row>
    <row r="3561" ht="15">
      <c r="D3561" s="1290"/>
    </row>
    <row r="3562" ht="15">
      <c r="D3562" s="1290"/>
    </row>
    <row r="3563" ht="15">
      <c r="D3563" s="1290"/>
    </row>
    <row r="3564" ht="15">
      <c r="D3564" s="1290"/>
    </row>
    <row r="3565" ht="15">
      <c r="D3565" s="1290"/>
    </row>
    <row r="3566" ht="15">
      <c r="D3566" s="1290"/>
    </row>
    <row r="3567" ht="15">
      <c r="D3567" s="1290"/>
    </row>
    <row r="3568" ht="15">
      <c r="D3568" s="1290"/>
    </row>
    <row r="3569" ht="15">
      <c r="D3569" s="1290"/>
    </row>
    <row r="3570" ht="15">
      <c r="D3570" s="1290"/>
    </row>
    <row r="3571" ht="15">
      <c r="D3571" s="1290"/>
    </row>
    <row r="3572" ht="15">
      <c r="D3572" s="1290"/>
    </row>
    <row r="3573" ht="15">
      <c r="D3573" s="1290"/>
    </row>
    <row r="3574" ht="15">
      <c r="D3574" s="1290"/>
    </row>
    <row r="3575" ht="15">
      <c r="D3575" s="1290"/>
    </row>
    <row r="3576" ht="15">
      <c r="D3576" s="1290"/>
    </row>
    <row r="3577" ht="15">
      <c r="D3577" s="1290"/>
    </row>
    <row r="3578" ht="15">
      <c r="D3578" s="1290"/>
    </row>
    <row r="3579" ht="15">
      <c r="D3579" s="1290"/>
    </row>
    <row r="3580" ht="15">
      <c r="D3580" s="1290"/>
    </row>
    <row r="3581" ht="15">
      <c r="D3581" s="1290"/>
    </row>
    <row r="3582" ht="15">
      <c r="D3582" s="1290"/>
    </row>
    <row r="3583" ht="15">
      <c r="D3583" s="1290"/>
    </row>
    <row r="3584" ht="15">
      <c r="D3584" s="1290"/>
    </row>
    <row r="3585" ht="15">
      <c r="D3585" s="1290"/>
    </row>
    <row r="3586" ht="15">
      <c r="D3586" s="1290"/>
    </row>
    <row r="3587" ht="15">
      <c r="D3587" s="1290"/>
    </row>
    <row r="3588" ht="15">
      <c r="D3588" s="1290"/>
    </row>
    <row r="3589" ht="15">
      <c r="D3589" s="1290"/>
    </row>
    <row r="3590" ht="15">
      <c r="D3590" s="1290"/>
    </row>
    <row r="3591" ht="15">
      <c r="D3591" s="1290"/>
    </row>
    <row r="3592" ht="15">
      <c r="D3592" s="1290"/>
    </row>
    <row r="3593" ht="15">
      <c r="D3593" s="1290"/>
    </row>
    <row r="3594" ht="15">
      <c r="D3594" s="1290"/>
    </row>
    <row r="3595" ht="15">
      <c r="D3595" s="1290"/>
    </row>
    <row r="3596" ht="15">
      <c r="D3596" s="1290"/>
    </row>
    <row r="3597" ht="15">
      <c r="D3597" s="1290"/>
    </row>
    <row r="3598" ht="15">
      <c r="D3598" s="1290"/>
    </row>
    <row r="3599" ht="15">
      <c r="D3599" s="1290"/>
    </row>
    <row r="3600" ht="15">
      <c r="D3600" s="1290"/>
    </row>
    <row r="3601" ht="15">
      <c r="D3601" s="1290"/>
    </row>
    <row r="3602" ht="15">
      <c r="D3602" s="1290"/>
    </row>
    <row r="3603" ht="15">
      <c r="D3603" s="1290"/>
    </row>
    <row r="3604" ht="15">
      <c r="D3604" s="1290"/>
    </row>
    <row r="3605" ht="15">
      <c r="D3605" s="1290"/>
    </row>
    <row r="3606" ht="15">
      <c r="D3606" s="1290"/>
    </row>
    <row r="3607" ht="15">
      <c r="D3607" s="1290"/>
    </row>
    <row r="3608" ht="15">
      <c r="D3608" s="1290"/>
    </row>
    <row r="3609" ht="15">
      <c r="D3609" s="1290"/>
    </row>
    <row r="3610" ht="15">
      <c r="D3610" s="1290"/>
    </row>
    <row r="3611" ht="15">
      <c r="D3611" s="1290"/>
    </row>
    <row r="3612" ht="15">
      <c r="D3612" s="1290"/>
    </row>
    <row r="3613" ht="15">
      <c r="D3613" s="1290"/>
    </row>
    <row r="3614" ht="15">
      <c r="D3614" s="1290"/>
    </row>
    <row r="3615" ht="15">
      <c r="D3615" s="1290"/>
    </row>
    <row r="3616" ht="15">
      <c r="D3616" s="1290"/>
    </row>
    <row r="3617" ht="15">
      <c r="D3617" s="1290"/>
    </row>
    <row r="3618" ht="15">
      <c r="D3618" s="1290"/>
    </row>
    <row r="3619" ht="15">
      <c r="D3619" s="1290"/>
    </row>
    <row r="3620" ht="15">
      <c r="D3620" s="1290"/>
    </row>
    <row r="3621" ht="15">
      <c r="D3621" s="1290"/>
    </row>
    <row r="3622" ht="15">
      <c r="D3622" s="1290"/>
    </row>
    <row r="3623" ht="15">
      <c r="D3623" s="1290"/>
    </row>
    <row r="3624" ht="15">
      <c r="D3624" s="1290"/>
    </row>
    <row r="3625" ht="15">
      <c r="D3625" s="1290"/>
    </row>
    <row r="3626" ht="15">
      <c r="D3626" s="1290"/>
    </row>
    <row r="3627" ht="15">
      <c r="D3627" s="1290"/>
    </row>
    <row r="3628" ht="15">
      <c r="D3628" s="1290"/>
    </row>
    <row r="3629" ht="15">
      <c r="D3629" s="1290"/>
    </row>
    <row r="3630" ht="15">
      <c r="D3630" s="1290"/>
    </row>
    <row r="3631" ht="15">
      <c r="D3631" s="1290"/>
    </row>
    <row r="3632" ht="15">
      <c r="D3632" s="1290"/>
    </row>
    <row r="3633" ht="15">
      <c r="D3633" s="1290"/>
    </row>
    <row r="3634" ht="15">
      <c r="D3634" s="1290"/>
    </row>
    <row r="3635" ht="15">
      <c r="D3635" s="1290"/>
    </row>
    <row r="3636" ht="15">
      <c r="D3636" s="1290"/>
    </row>
    <row r="3637" ht="15">
      <c r="D3637" s="1290"/>
    </row>
    <row r="3638" ht="15">
      <c r="D3638" s="1290"/>
    </row>
    <row r="3639" ht="15">
      <c r="D3639" s="1290"/>
    </row>
    <row r="3640" ht="15">
      <c r="D3640" s="1290"/>
    </row>
    <row r="3641" ht="15">
      <c r="D3641" s="1290"/>
    </row>
    <row r="3642" ht="15">
      <c r="D3642" s="1290"/>
    </row>
    <row r="3643" ht="15">
      <c r="D3643" s="1290"/>
    </row>
    <row r="3644" ht="15">
      <c r="D3644" s="1290"/>
    </row>
    <row r="3645" ht="15">
      <c r="D3645" s="1290"/>
    </row>
    <row r="3646" ht="15">
      <c r="D3646" s="1290"/>
    </row>
    <row r="3647" ht="15">
      <c r="D3647" s="1290"/>
    </row>
    <row r="3648" ht="15">
      <c r="D3648" s="1290"/>
    </row>
    <row r="3649" ht="15">
      <c r="D3649" s="1290"/>
    </row>
    <row r="3650" ht="15">
      <c r="D3650" s="1290"/>
    </row>
    <row r="3651" ht="15">
      <c r="D3651" s="1290"/>
    </row>
    <row r="3652" ht="15">
      <c r="D3652" s="1290"/>
    </row>
    <row r="3653" ht="15">
      <c r="D3653" s="1290"/>
    </row>
    <row r="3654" ht="15">
      <c r="D3654" s="1290"/>
    </row>
    <row r="3655" ht="15">
      <c r="D3655" s="1290"/>
    </row>
    <row r="3656" ht="15">
      <c r="D3656" s="1290"/>
    </row>
    <row r="3657" ht="15">
      <c r="D3657" s="1290"/>
    </row>
    <row r="3658" ht="15">
      <c r="D3658" s="1290"/>
    </row>
    <row r="3659" ht="15">
      <c r="D3659" s="1290"/>
    </row>
    <row r="3660" ht="15">
      <c r="D3660" s="1290"/>
    </row>
    <row r="3661" ht="15">
      <c r="D3661" s="1290"/>
    </row>
    <row r="3662" ht="15">
      <c r="D3662" s="1290"/>
    </row>
    <row r="3663" ht="15">
      <c r="D3663" s="1290"/>
    </row>
    <row r="3664" ht="15">
      <c r="D3664" s="1290"/>
    </row>
    <row r="3665" ht="15">
      <c r="D3665" s="1290"/>
    </row>
    <row r="3666" ht="15">
      <c r="D3666" s="1290"/>
    </row>
    <row r="3667" ht="15">
      <c r="D3667" s="1290"/>
    </row>
    <row r="3668" ht="15">
      <c r="D3668" s="1290"/>
    </row>
    <row r="3669" ht="15">
      <c r="D3669" s="1290"/>
    </row>
    <row r="3670" ht="15">
      <c r="D3670" s="1290"/>
    </row>
    <row r="3671" ht="15">
      <c r="D3671" s="1290"/>
    </row>
    <row r="3672" ht="15">
      <c r="D3672" s="1290"/>
    </row>
    <row r="3673" ht="15">
      <c r="D3673" s="1290"/>
    </row>
    <row r="3674" ht="15">
      <c r="D3674" s="1290"/>
    </row>
    <row r="3675" ht="15">
      <c r="D3675" s="1290"/>
    </row>
    <row r="3676" ht="15">
      <c r="D3676" s="1290"/>
    </row>
    <row r="3677" ht="15">
      <c r="D3677" s="1290"/>
    </row>
    <row r="3678" ht="15">
      <c r="D3678" s="1290"/>
    </row>
    <row r="3679" ht="15">
      <c r="D3679" s="1290"/>
    </row>
    <row r="3680" ht="15">
      <c r="D3680" s="1290"/>
    </row>
    <row r="3681" ht="15">
      <c r="D3681" s="1290"/>
    </row>
    <row r="3682" ht="15">
      <c r="D3682" s="1290"/>
    </row>
    <row r="3683" ht="15">
      <c r="D3683" s="1290"/>
    </row>
    <row r="3684" ht="15">
      <c r="D3684" s="1290"/>
    </row>
    <row r="3685" ht="15">
      <c r="D3685" s="1290"/>
    </row>
    <row r="3686" ht="15">
      <c r="D3686" s="1290"/>
    </row>
    <row r="3687" ht="15">
      <c r="D3687" s="1290"/>
    </row>
    <row r="3688" ht="15">
      <c r="D3688" s="1290"/>
    </row>
    <row r="3689" ht="15">
      <c r="D3689" s="1290"/>
    </row>
    <row r="3690" ht="15">
      <c r="D3690" s="1290"/>
    </row>
    <row r="3691" ht="15">
      <c r="D3691" s="1290"/>
    </row>
    <row r="3692" ht="15">
      <c r="D3692" s="1290"/>
    </row>
    <row r="3693" ht="15">
      <c r="D3693" s="1290"/>
    </row>
    <row r="3694" ht="15">
      <c r="D3694" s="1290"/>
    </row>
    <row r="3695" ht="15">
      <c r="D3695" s="1290"/>
    </row>
    <row r="3696" ht="15">
      <c r="D3696" s="1290"/>
    </row>
    <row r="3697" ht="15">
      <c r="D3697" s="1290"/>
    </row>
    <row r="3698" ht="15">
      <c r="D3698" s="1290"/>
    </row>
    <row r="3699" ht="15">
      <c r="D3699" s="1290"/>
    </row>
    <row r="3700" ht="15">
      <c r="D3700" s="1290"/>
    </row>
    <row r="3701" ht="15">
      <c r="D3701" s="1290"/>
    </row>
    <row r="3702" ht="15">
      <c r="D3702" s="1290"/>
    </row>
    <row r="3703" ht="15">
      <c r="D3703" s="1290"/>
    </row>
    <row r="3704" ht="15">
      <c r="D3704" s="1290"/>
    </row>
    <row r="3705" ht="15">
      <c r="D3705" s="1290"/>
    </row>
    <row r="3706" ht="15">
      <c r="D3706" s="1290"/>
    </row>
    <row r="3707" ht="15">
      <c r="D3707" s="1290"/>
    </row>
    <row r="3708" ht="15">
      <c r="D3708" s="1290"/>
    </row>
    <row r="3709" ht="15">
      <c r="D3709" s="1290"/>
    </row>
    <row r="3710" ht="15">
      <c r="D3710" s="1290"/>
    </row>
    <row r="3711" ht="15">
      <c r="D3711" s="1290"/>
    </row>
    <row r="3712" ht="15">
      <c r="D3712" s="1290"/>
    </row>
    <row r="3713" ht="15">
      <c r="D3713" s="1290"/>
    </row>
    <row r="3714" ht="15">
      <c r="D3714" s="1290"/>
    </row>
    <row r="3715" ht="15">
      <c r="D3715" s="1290"/>
    </row>
    <row r="3716" ht="15">
      <c r="D3716" s="1290"/>
    </row>
    <row r="3717" ht="15">
      <c r="D3717" s="1290"/>
    </row>
    <row r="3718" ht="15">
      <c r="D3718" s="1290"/>
    </row>
    <row r="3719" ht="15">
      <c r="D3719" s="1290"/>
    </row>
    <row r="3720" ht="15">
      <c r="D3720" s="1290"/>
    </row>
    <row r="3721" ht="15">
      <c r="D3721" s="1290"/>
    </row>
    <row r="3722" ht="15">
      <c r="D3722" s="1290"/>
    </row>
    <row r="3723" ht="15">
      <c r="D3723" s="1290"/>
    </row>
    <row r="3724" ht="15">
      <c r="D3724" s="1290"/>
    </row>
    <row r="3725" ht="15">
      <c r="D3725" s="1290"/>
    </row>
    <row r="3726" ht="15">
      <c r="D3726" s="1290"/>
    </row>
    <row r="3727" ht="15">
      <c r="D3727" s="1290"/>
    </row>
    <row r="3728" ht="15">
      <c r="D3728" s="1290"/>
    </row>
    <row r="3729" ht="15">
      <c r="D3729" s="1290"/>
    </row>
    <row r="3730" ht="15">
      <c r="D3730" s="1290"/>
    </row>
    <row r="3731" ht="15">
      <c r="D3731" s="1290"/>
    </row>
    <row r="3732" ht="15">
      <c r="D3732" s="1290"/>
    </row>
    <row r="3733" ht="15">
      <c r="D3733" s="1290"/>
    </row>
    <row r="3734" ht="15">
      <c r="D3734" s="1290"/>
    </row>
    <row r="3735" ht="15">
      <c r="D3735" s="1290"/>
    </row>
    <row r="3736" ht="15">
      <c r="D3736" s="1290"/>
    </row>
    <row r="3737" ht="15">
      <c r="D3737" s="1290"/>
    </row>
    <row r="3738" ht="15">
      <c r="D3738" s="1290"/>
    </row>
    <row r="3739" ht="15">
      <c r="D3739" s="1290"/>
    </row>
    <row r="3740" ht="15">
      <c r="D3740" s="1290"/>
    </row>
    <row r="3741" ht="15">
      <c r="D3741" s="1290"/>
    </row>
    <row r="3742" ht="15">
      <c r="D3742" s="1290"/>
    </row>
    <row r="3743" ht="15">
      <c r="D3743" s="1290"/>
    </row>
    <row r="3744" ht="15">
      <c r="D3744" s="1290"/>
    </row>
    <row r="3745" ht="15">
      <c r="D3745" s="1290"/>
    </row>
    <row r="3746" ht="15">
      <c r="D3746" s="1290"/>
    </row>
    <row r="3747" ht="15">
      <c r="D3747" s="1290"/>
    </row>
    <row r="3748" ht="15">
      <c r="D3748" s="1290"/>
    </row>
    <row r="3749" ht="15">
      <c r="D3749" s="1290"/>
    </row>
    <row r="3750" ht="15">
      <c r="D3750" s="1290"/>
    </row>
    <row r="3751" ht="15">
      <c r="D3751" s="1290"/>
    </row>
    <row r="3752" ht="15">
      <c r="D3752" s="1290"/>
    </row>
    <row r="3753" ht="15">
      <c r="D3753" s="1290"/>
    </row>
    <row r="3754" ht="15">
      <c r="D3754" s="1290"/>
    </row>
    <row r="3755" ht="15">
      <c r="D3755" s="1290"/>
    </row>
    <row r="3756" ht="15">
      <c r="D3756" s="1290"/>
    </row>
    <row r="3757" ht="15">
      <c r="D3757" s="1290"/>
    </row>
    <row r="3758" ht="15">
      <c r="D3758" s="1290"/>
    </row>
    <row r="3759" ht="15">
      <c r="D3759" s="1290"/>
    </row>
    <row r="3760" ht="15">
      <c r="D3760" s="1290"/>
    </row>
    <row r="3761" ht="15">
      <c r="D3761" s="1290"/>
    </row>
    <row r="3762" ht="15">
      <c r="D3762" s="1290"/>
    </row>
    <row r="3763" ht="15">
      <c r="D3763" s="1290"/>
    </row>
    <row r="3764" ht="15">
      <c r="D3764" s="1290"/>
    </row>
    <row r="3765" ht="15">
      <c r="D3765" s="1290"/>
    </row>
    <row r="3766" ht="15">
      <c r="D3766" s="1290"/>
    </row>
    <row r="3767" ht="15">
      <c r="D3767" s="1290"/>
    </row>
    <row r="3768" ht="15">
      <c r="D3768" s="1290"/>
    </row>
    <row r="3769" ht="15">
      <c r="D3769" s="1290"/>
    </row>
    <row r="3770" ht="15">
      <c r="D3770" s="1290"/>
    </row>
    <row r="3771" ht="15">
      <c r="D3771" s="1290"/>
    </row>
    <row r="3772" ht="15">
      <c r="D3772" s="1290"/>
    </row>
    <row r="3773" ht="15">
      <c r="D3773" s="1290"/>
    </row>
    <row r="3774" ht="15">
      <c r="D3774" s="1290"/>
    </row>
    <row r="3775" ht="15">
      <c r="D3775" s="1290"/>
    </row>
    <row r="3776" ht="15">
      <c r="D3776" s="1290"/>
    </row>
    <row r="3777" ht="15">
      <c r="D3777" s="1290"/>
    </row>
    <row r="3778" ht="15">
      <c r="D3778" s="1290"/>
    </row>
    <row r="3779" ht="15">
      <c r="D3779" s="1290"/>
    </row>
    <row r="3780" ht="15">
      <c r="D3780" s="1290"/>
    </row>
    <row r="3781" ht="15">
      <c r="D3781" s="1290"/>
    </row>
    <row r="3782" ht="15">
      <c r="D3782" s="1290"/>
    </row>
    <row r="3783" ht="15">
      <c r="D3783" s="1290"/>
    </row>
    <row r="3784" ht="15">
      <c r="D3784" s="1290"/>
    </row>
    <row r="3785" ht="15">
      <c r="D3785" s="1290"/>
    </row>
    <row r="3786" ht="15">
      <c r="D3786" s="1290"/>
    </row>
    <row r="3787" ht="15">
      <c r="D3787" s="1290"/>
    </row>
    <row r="3788" ht="15">
      <c r="D3788" s="1290"/>
    </row>
    <row r="3789" ht="15">
      <c r="D3789" s="1290"/>
    </row>
    <row r="3790" ht="15">
      <c r="D3790" s="1290"/>
    </row>
    <row r="3791" ht="15">
      <c r="D3791" s="1290"/>
    </row>
    <row r="3792" ht="15">
      <c r="D3792" s="1290"/>
    </row>
    <row r="3793" ht="15">
      <c r="D3793" s="1290"/>
    </row>
    <row r="3794" ht="15">
      <c r="D3794" s="1290"/>
    </row>
    <row r="3795" ht="15">
      <c r="D3795" s="1290"/>
    </row>
    <row r="3796" ht="15">
      <c r="D3796" s="1290"/>
    </row>
    <row r="3797" ht="15">
      <c r="D3797" s="1290"/>
    </row>
    <row r="3798" ht="15">
      <c r="D3798" s="1290"/>
    </row>
    <row r="3799" ht="15">
      <c r="D3799" s="1290"/>
    </row>
    <row r="3800" ht="15">
      <c r="D3800" s="1290"/>
    </row>
    <row r="3801" ht="15">
      <c r="D3801" s="1290"/>
    </row>
    <row r="3802" ht="15">
      <c r="D3802" s="1290"/>
    </row>
    <row r="3803" ht="15">
      <c r="D3803" s="1290"/>
    </row>
    <row r="3804" ht="15">
      <c r="D3804" s="1290"/>
    </row>
    <row r="3805" ht="15">
      <c r="D3805" s="1290"/>
    </row>
    <row r="3806" ht="15">
      <c r="D3806" s="1290"/>
    </row>
    <row r="3807" ht="15">
      <c r="D3807" s="1290"/>
    </row>
    <row r="3808" ht="15">
      <c r="D3808" s="1290"/>
    </row>
    <row r="3809" ht="15">
      <c r="D3809" s="1290"/>
    </row>
    <row r="3810" ht="15">
      <c r="D3810" s="1290"/>
    </row>
    <row r="3811" ht="15">
      <c r="D3811" s="1290"/>
    </row>
    <row r="3812" ht="15">
      <c r="D3812" s="1290"/>
    </row>
    <row r="3813" ht="15">
      <c r="D3813" s="1290"/>
    </row>
    <row r="3814" ht="15">
      <c r="D3814" s="1290"/>
    </row>
    <row r="3815" ht="15">
      <c r="D3815" s="1290"/>
    </row>
    <row r="3816" ht="15">
      <c r="D3816" s="1290"/>
    </row>
    <row r="3817" ht="15">
      <c r="D3817" s="1290"/>
    </row>
    <row r="3818" ht="15">
      <c r="D3818" s="1290"/>
    </row>
    <row r="3819" ht="15">
      <c r="D3819" s="1290"/>
    </row>
    <row r="3820" ht="15">
      <c r="D3820" s="1290"/>
    </row>
    <row r="3821" ht="15">
      <c r="D3821" s="1290"/>
    </row>
    <row r="3822" ht="15">
      <c r="D3822" s="1290"/>
    </row>
    <row r="3823" ht="15">
      <c r="D3823" s="1290"/>
    </row>
    <row r="3824" ht="15">
      <c r="D3824" s="1290"/>
    </row>
    <row r="3825" ht="15">
      <c r="D3825" s="1290"/>
    </row>
    <row r="3826" ht="15">
      <c r="D3826" s="1290"/>
    </row>
    <row r="3827" ht="15">
      <c r="D3827" s="1290"/>
    </row>
    <row r="3828" ht="15">
      <c r="D3828" s="1290"/>
    </row>
    <row r="3829" ht="15">
      <c r="D3829" s="1290"/>
    </row>
    <row r="3830" ht="15">
      <c r="D3830" s="1290"/>
    </row>
    <row r="3831" ht="15">
      <c r="D3831" s="1290"/>
    </row>
    <row r="3832" ht="15">
      <c r="D3832" s="1290"/>
    </row>
    <row r="3833" ht="15">
      <c r="D3833" s="1290"/>
    </row>
    <row r="3834" ht="15">
      <c r="D3834" s="1290"/>
    </row>
    <row r="3835" ht="15">
      <c r="D3835" s="1290"/>
    </row>
    <row r="3836" ht="15">
      <c r="D3836" s="1290"/>
    </row>
    <row r="3837" ht="15">
      <c r="D3837" s="1290"/>
    </row>
    <row r="3838" ht="15">
      <c r="D3838" s="1290"/>
    </row>
    <row r="3839" ht="15">
      <c r="D3839" s="1290"/>
    </row>
    <row r="3840" ht="15">
      <c r="D3840" s="1290"/>
    </row>
    <row r="3841" ht="15">
      <c r="D3841" s="1290"/>
    </row>
    <row r="3842" ht="15">
      <c r="D3842" s="1290"/>
    </row>
    <row r="3843" ht="15">
      <c r="D3843" s="1290"/>
    </row>
    <row r="3844" ht="15">
      <c r="D3844" s="1290"/>
    </row>
    <row r="3845" ht="15">
      <c r="D3845" s="1290"/>
    </row>
    <row r="3846" ht="15">
      <c r="D3846" s="1290"/>
    </row>
    <row r="3847" ht="15">
      <c r="D3847" s="1290"/>
    </row>
    <row r="3848" ht="15">
      <c r="D3848" s="1290"/>
    </row>
    <row r="3849" ht="15">
      <c r="D3849" s="1290"/>
    </row>
    <row r="3850" ht="15">
      <c r="D3850" s="1290"/>
    </row>
    <row r="3851" ht="15">
      <c r="D3851" s="1290"/>
    </row>
    <row r="3852" ht="15">
      <c r="D3852" s="1290"/>
    </row>
    <row r="3853" ht="15">
      <c r="D3853" s="1290"/>
    </row>
    <row r="3854" ht="15">
      <c r="D3854" s="1290"/>
    </row>
    <row r="3855" ht="15">
      <c r="D3855" s="1290"/>
    </row>
    <row r="3856" ht="15">
      <c r="D3856" s="1290"/>
    </row>
    <row r="3857" ht="15">
      <c r="D3857" s="1290"/>
    </row>
    <row r="3858" ht="15">
      <c r="D3858" s="1290"/>
    </row>
    <row r="3859" ht="15">
      <c r="D3859" s="1290"/>
    </row>
    <row r="3860" ht="15">
      <c r="D3860" s="1290"/>
    </row>
    <row r="3861" ht="15">
      <c r="D3861" s="1290"/>
    </row>
    <row r="3862" ht="15">
      <c r="D3862" s="1290"/>
    </row>
    <row r="3863" ht="15">
      <c r="D3863" s="1290"/>
    </row>
    <row r="3864" ht="15">
      <c r="D3864" s="1290"/>
    </row>
    <row r="3865" ht="15">
      <c r="D3865" s="1290"/>
    </row>
    <row r="3866" ht="15">
      <c r="D3866" s="1290"/>
    </row>
    <row r="3867" ht="15">
      <c r="D3867" s="1290"/>
    </row>
    <row r="3868" ht="15">
      <c r="D3868" s="1290"/>
    </row>
    <row r="3869" ht="15">
      <c r="D3869" s="1290"/>
    </row>
    <row r="3870" ht="15">
      <c r="D3870" s="1290"/>
    </row>
    <row r="3871" ht="15">
      <c r="D3871" s="1290"/>
    </row>
    <row r="3872" ht="15">
      <c r="D3872" s="1290"/>
    </row>
    <row r="3873" ht="15">
      <c r="D3873" s="1290"/>
    </row>
    <row r="3874" ht="15">
      <c r="D3874" s="1290"/>
    </row>
    <row r="3875" ht="15">
      <c r="D3875" s="1290"/>
    </row>
    <row r="3876" ht="15">
      <c r="D3876" s="1290"/>
    </row>
    <row r="3877" ht="15">
      <c r="D3877" s="1290"/>
    </row>
    <row r="3878" ht="15">
      <c r="D3878" s="1290"/>
    </row>
    <row r="3879" ht="15">
      <c r="D3879" s="1290"/>
    </row>
    <row r="3880" ht="15">
      <c r="D3880" s="1290"/>
    </row>
    <row r="3881" ht="15">
      <c r="D3881" s="1290"/>
    </row>
    <row r="3882" ht="15">
      <c r="D3882" s="1290"/>
    </row>
    <row r="3883" ht="15">
      <c r="D3883" s="1290"/>
    </row>
    <row r="3884" ht="15">
      <c r="D3884" s="1290"/>
    </row>
    <row r="3885" ht="15">
      <c r="D3885" s="1290"/>
    </row>
    <row r="3886" ht="15">
      <c r="D3886" s="1290"/>
    </row>
    <row r="3887" ht="15">
      <c r="D3887" s="1290"/>
    </row>
    <row r="3888" ht="15">
      <c r="D3888" s="1290"/>
    </row>
    <row r="3889" ht="15">
      <c r="D3889" s="1290"/>
    </row>
    <row r="3890" ht="15">
      <c r="D3890" s="1290"/>
    </row>
    <row r="3891" ht="15">
      <c r="D3891" s="1290"/>
    </row>
    <row r="3892" ht="15">
      <c r="D3892" s="1290"/>
    </row>
    <row r="3893" ht="15">
      <c r="D3893" s="1290"/>
    </row>
    <row r="3894" ht="15">
      <c r="D3894" s="1290"/>
    </row>
    <row r="3895" ht="15">
      <c r="D3895" s="1290"/>
    </row>
    <row r="3896" ht="15">
      <c r="D3896" s="1290"/>
    </row>
    <row r="3897" ht="15">
      <c r="D3897" s="1290"/>
    </row>
    <row r="3898" ht="15">
      <c r="D3898" s="1290"/>
    </row>
    <row r="3899" ht="15">
      <c r="D3899" s="1290"/>
    </row>
    <row r="3900" ht="15">
      <c r="D3900" s="1290"/>
    </row>
    <row r="3901" ht="15">
      <c r="D3901" s="1290"/>
    </row>
    <row r="3902" ht="15">
      <c r="D3902" s="1290"/>
    </row>
    <row r="3903" ht="15">
      <c r="D3903" s="1290"/>
    </row>
    <row r="3904" ht="15">
      <c r="D3904" s="1290"/>
    </row>
    <row r="3905" ht="15">
      <c r="D3905" s="1290"/>
    </row>
    <row r="3906" ht="15">
      <c r="D3906" s="1290"/>
    </row>
    <row r="3907" ht="15">
      <c r="D3907" s="1290"/>
    </row>
    <row r="3908" ht="15">
      <c r="D3908" s="1290"/>
    </row>
    <row r="3909" ht="15">
      <c r="D3909" s="1290"/>
    </row>
    <row r="3910" ht="15">
      <c r="D3910" s="1290"/>
    </row>
    <row r="3911" ht="15">
      <c r="D3911" s="1290"/>
    </row>
    <row r="3912" ht="15">
      <c r="D3912" s="1290"/>
    </row>
    <row r="3913" ht="15">
      <c r="D3913" s="1290"/>
    </row>
    <row r="3914" ht="15">
      <c r="D3914" s="1290"/>
    </row>
    <row r="3915" ht="15">
      <c r="D3915" s="1290"/>
    </row>
    <row r="3916" ht="15">
      <c r="D3916" s="1290"/>
    </row>
    <row r="3917" ht="15">
      <c r="D3917" s="1290"/>
    </row>
    <row r="3918" ht="15">
      <c r="D3918" s="1290"/>
    </row>
    <row r="3919" ht="15">
      <c r="D3919" s="1290"/>
    </row>
    <row r="3920" ht="15">
      <c r="D3920" s="1290"/>
    </row>
    <row r="3921" ht="15">
      <c r="D3921" s="1290"/>
    </row>
    <row r="3922" ht="15">
      <c r="D3922" s="1290"/>
    </row>
    <row r="3923" ht="15">
      <c r="D3923" s="1290"/>
    </row>
    <row r="3924" ht="15">
      <c r="D3924" s="1290"/>
    </row>
    <row r="3925" ht="15">
      <c r="D3925" s="1290"/>
    </row>
    <row r="3926" ht="15">
      <c r="D3926" s="1290"/>
    </row>
    <row r="3927" ht="15">
      <c r="D3927" s="1290"/>
    </row>
    <row r="3928" ht="15">
      <c r="D3928" s="1290"/>
    </row>
    <row r="3929" ht="15">
      <c r="D3929" s="1290"/>
    </row>
    <row r="3930" ht="15">
      <c r="D3930" s="1290"/>
    </row>
    <row r="3931" ht="15">
      <c r="D3931" s="1290"/>
    </row>
    <row r="3932" ht="15">
      <c r="D3932" s="1290"/>
    </row>
    <row r="3933" ht="15">
      <c r="D3933" s="1290"/>
    </row>
    <row r="3934" ht="15">
      <c r="D3934" s="1290"/>
    </row>
    <row r="3935" ht="15">
      <c r="D3935" s="1290"/>
    </row>
    <row r="3936" ht="15">
      <c r="D3936" s="1290"/>
    </row>
    <row r="3937" ht="15">
      <c r="D3937" s="1290"/>
    </row>
    <row r="3938" ht="15">
      <c r="D3938" s="1290"/>
    </row>
    <row r="3939" ht="15">
      <c r="D3939" s="1290"/>
    </row>
    <row r="3940" ht="15">
      <c r="D3940" s="1290"/>
    </row>
    <row r="3941" ht="15">
      <c r="D3941" s="1290"/>
    </row>
    <row r="3942" ht="15">
      <c r="D3942" s="1290"/>
    </row>
    <row r="3943" ht="15">
      <c r="D3943" s="1290"/>
    </row>
    <row r="3944" ht="15">
      <c r="D3944" s="1290"/>
    </row>
    <row r="3945" ht="15">
      <c r="D3945" s="1290"/>
    </row>
    <row r="3946" ht="15">
      <c r="D3946" s="1290"/>
    </row>
    <row r="3947" ht="15">
      <c r="D3947" s="1290"/>
    </row>
    <row r="3948" ht="15">
      <c r="D3948" s="1290"/>
    </row>
    <row r="3949" ht="15">
      <c r="D3949" s="1290"/>
    </row>
    <row r="3950" ht="15">
      <c r="D3950" s="1290"/>
    </row>
    <row r="3951" ht="15">
      <c r="D3951" s="1290"/>
    </row>
    <row r="3952" ht="15">
      <c r="D3952" s="1290"/>
    </row>
    <row r="3953" ht="15">
      <c r="D3953" s="1290"/>
    </row>
    <row r="3954" ht="15">
      <c r="D3954" s="1290"/>
    </row>
    <row r="3955" ht="15">
      <c r="D3955" s="1290"/>
    </row>
    <row r="3956" ht="15">
      <c r="D3956" s="1290"/>
    </row>
    <row r="3957" ht="15">
      <c r="D3957" s="1290"/>
    </row>
    <row r="3958" ht="15">
      <c r="D3958" s="1290"/>
    </row>
    <row r="3959" ht="15">
      <c r="D3959" s="1290"/>
    </row>
    <row r="3960" ht="15">
      <c r="D3960" s="1290"/>
    </row>
    <row r="3961" ht="15">
      <c r="D3961" s="1290"/>
    </row>
    <row r="3962" ht="15">
      <c r="D3962" s="1290"/>
    </row>
    <row r="3963" ht="15">
      <c r="D3963" s="1290"/>
    </row>
    <row r="3964" ht="15">
      <c r="D3964" s="1290"/>
    </row>
    <row r="3965" ht="15">
      <c r="D3965" s="1290"/>
    </row>
    <row r="3966" ht="15">
      <c r="D3966" s="1290"/>
    </row>
    <row r="3967" ht="15">
      <c r="D3967" s="1290"/>
    </row>
    <row r="3968" ht="15">
      <c r="D3968" s="1290"/>
    </row>
    <row r="3969" ht="15">
      <c r="D3969" s="1290"/>
    </row>
    <row r="3970" ht="15">
      <c r="D3970" s="1290"/>
    </row>
    <row r="3971" ht="15">
      <c r="D3971" s="1290"/>
    </row>
    <row r="3972" ht="15">
      <c r="D3972" s="1290"/>
    </row>
    <row r="3973" ht="15">
      <c r="D3973" s="1290"/>
    </row>
    <row r="3974" ht="15">
      <c r="D3974" s="1290"/>
    </row>
    <row r="3975" ht="15">
      <c r="D3975" s="1290"/>
    </row>
    <row r="3976" ht="15">
      <c r="D3976" s="1290"/>
    </row>
    <row r="3977" ht="15">
      <c r="D3977" s="1290"/>
    </row>
    <row r="3978" ht="15">
      <c r="D3978" s="1290"/>
    </row>
    <row r="3979" ht="15">
      <c r="D3979" s="1290"/>
    </row>
    <row r="3980" ht="15">
      <c r="D3980" s="1290"/>
    </row>
    <row r="3981" ht="15">
      <c r="D3981" s="1290"/>
    </row>
    <row r="3982" ht="15">
      <c r="D3982" s="1290"/>
    </row>
    <row r="3983" ht="15">
      <c r="D3983" s="1290"/>
    </row>
    <row r="3984" ht="15">
      <c r="D3984" s="1290"/>
    </row>
    <row r="3985" ht="15">
      <c r="D3985" s="1290"/>
    </row>
    <row r="3986" ht="15">
      <c r="D3986" s="1290"/>
    </row>
    <row r="3987" ht="15">
      <c r="D3987" s="1290"/>
    </row>
    <row r="3988" ht="15">
      <c r="D3988" s="1290"/>
    </row>
    <row r="3989" ht="15">
      <c r="D3989" s="1290"/>
    </row>
    <row r="3990" ht="15">
      <c r="D3990" s="1290"/>
    </row>
    <row r="3991" ht="15">
      <c r="D3991" s="1290"/>
    </row>
    <row r="3992" ht="15">
      <c r="D3992" s="1290"/>
    </row>
    <row r="3993" ht="15">
      <c r="D3993" s="1290"/>
    </row>
    <row r="3994" ht="15">
      <c r="D3994" s="1290"/>
    </row>
    <row r="3995" ht="15">
      <c r="D3995" s="1290"/>
    </row>
    <row r="3996" ht="15">
      <c r="D3996" s="1290"/>
    </row>
    <row r="3997" ht="15">
      <c r="D3997" s="1290"/>
    </row>
    <row r="3998" ht="15">
      <c r="D3998" s="1290"/>
    </row>
    <row r="3999" ht="15">
      <c r="D3999" s="1290"/>
    </row>
    <row r="4000" ht="15">
      <c r="D4000" s="1290"/>
    </row>
    <row r="4001" ht="15">
      <c r="D4001" s="1290"/>
    </row>
    <row r="4002" ht="15">
      <c r="D4002" s="1290"/>
    </row>
    <row r="4003" ht="15">
      <c r="D4003" s="1290"/>
    </row>
    <row r="4004" ht="15">
      <c r="D4004" s="1290"/>
    </row>
    <row r="4005" ht="15">
      <c r="D4005" s="1290"/>
    </row>
    <row r="4006" ht="15">
      <c r="D4006" s="1290"/>
    </row>
    <row r="4007" ht="15">
      <c r="D4007" s="1290"/>
    </row>
    <row r="4008" ht="15">
      <c r="D4008" s="1290"/>
    </row>
    <row r="4009" ht="15">
      <c r="D4009" s="1290"/>
    </row>
    <row r="4010" ht="15">
      <c r="D4010" s="1290"/>
    </row>
    <row r="4011" ht="15">
      <c r="D4011" s="1290"/>
    </row>
    <row r="4012" ht="15">
      <c r="D4012" s="1290"/>
    </row>
    <row r="4013" ht="15">
      <c r="D4013" s="1290"/>
    </row>
    <row r="4014" ht="15">
      <c r="D4014" s="1290"/>
    </row>
    <row r="4015" ht="15">
      <c r="D4015" s="1290"/>
    </row>
    <row r="4016" ht="15">
      <c r="D4016" s="1290"/>
    </row>
    <row r="4017" ht="15">
      <c r="D4017" s="1290"/>
    </row>
    <row r="4018" ht="15">
      <c r="D4018" s="1290"/>
    </row>
    <row r="4019" ht="15">
      <c r="D4019" s="1290"/>
    </row>
    <row r="4020" ht="15">
      <c r="D4020" s="1290"/>
    </row>
    <row r="4021" ht="15">
      <c r="D4021" s="1290"/>
    </row>
    <row r="4022" ht="15">
      <c r="D4022" s="1290"/>
    </row>
    <row r="4023" ht="15">
      <c r="D4023" s="1290"/>
    </row>
    <row r="4024" ht="15">
      <c r="D4024" s="1290"/>
    </row>
    <row r="4025" ht="15">
      <c r="D4025" s="1290"/>
    </row>
    <row r="4026" ht="15">
      <c r="D4026" s="1290"/>
    </row>
    <row r="4027" ht="15">
      <c r="D4027" s="1290"/>
    </row>
    <row r="4028" ht="15">
      <c r="D4028" s="1290"/>
    </row>
    <row r="4029" ht="15">
      <c r="D4029" s="1290"/>
    </row>
    <row r="4030" ht="15">
      <c r="D4030" s="1290"/>
    </row>
    <row r="4031" ht="15">
      <c r="D4031" s="1290"/>
    </row>
    <row r="4032" ht="15">
      <c r="D4032" s="1290"/>
    </row>
    <row r="4033" ht="15">
      <c r="D4033" s="1290"/>
    </row>
    <row r="4034" ht="15">
      <c r="D4034" s="1290"/>
    </row>
    <row r="4035" ht="15">
      <c r="D4035" s="1290"/>
    </row>
    <row r="4036" ht="15">
      <c r="D4036" s="1290"/>
    </row>
    <row r="4037" ht="15">
      <c r="D4037" s="1290"/>
    </row>
    <row r="4038" ht="15">
      <c r="D4038" s="1290"/>
    </row>
    <row r="4039" ht="15">
      <c r="D4039" s="1290"/>
    </row>
    <row r="4040" ht="15">
      <c r="D4040" s="1290"/>
    </row>
    <row r="4041" ht="15">
      <c r="D4041" s="1290"/>
    </row>
    <row r="4042" ht="15">
      <c r="D4042" s="1290"/>
    </row>
    <row r="4043" ht="15">
      <c r="D4043" s="1290"/>
    </row>
    <row r="4044" ht="15">
      <c r="D4044" s="1290"/>
    </row>
    <row r="4045" ht="15">
      <c r="D4045" s="1290"/>
    </row>
    <row r="4046" ht="15">
      <c r="D4046" s="1290"/>
    </row>
    <row r="4047" ht="15">
      <c r="D4047" s="1290"/>
    </row>
    <row r="4048" ht="15">
      <c r="D4048" s="1290"/>
    </row>
    <row r="4049" ht="15">
      <c r="D4049" s="1290"/>
    </row>
    <row r="4050" ht="15">
      <c r="D4050" s="1290"/>
    </row>
    <row r="4051" ht="15">
      <c r="D4051" s="1290"/>
    </row>
    <row r="4052" ht="15">
      <c r="D4052" s="1290"/>
    </row>
    <row r="4053" ht="15">
      <c r="D4053" s="1290"/>
    </row>
    <row r="4054" ht="15">
      <c r="D4054" s="1290"/>
    </row>
    <row r="4055" ht="15">
      <c r="D4055" s="1290"/>
    </row>
    <row r="4056" ht="15">
      <c r="D4056" s="1290"/>
    </row>
    <row r="4057" ht="15">
      <c r="D4057" s="1290"/>
    </row>
    <row r="4058" ht="15">
      <c r="D4058" s="1290"/>
    </row>
    <row r="4059" ht="15">
      <c r="D4059" s="1290"/>
    </row>
    <row r="4060" ht="15">
      <c r="D4060" s="1290"/>
    </row>
    <row r="4061" ht="15">
      <c r="D4061" s="1290"/>
    </row>
    <row r="4062" ht="15">
      <c r="D4062" s="1290"/>
    </row>
    <row r="4063" ht="15">
      <c r="D4063" s="1290"/>
    </row>
    <row r="4064" ht="15">
      <c r="D4064" s="1290"/>
    </row>
    <row r="4065" ht="15">
      <c r="D4065" s="1290"/>
    </row>
    <row r="4066" ht="15">
      <c r="D4066" s="1290"/>
    </row>
    <row r="4067" ht="15">
      <c r="D4067" s="1290"/>
    </row>
    <row r="4068" ht="15">
      <c r="D4068" s="1290"/>
    </row>
    <row r="4069" ht="15">
      <c r="D4069" s="1290"/>
    </row>
    <row r="4070" ht="15">
      <c r="D4070" s="1290"/>
    </row>
    <row r="4071" ht="15">
      <c r="D4071" s="1290"/>
    </row>
    <row r="4072" ht="15">
      <c r="D4072" s="1290"/>
    </row>
    <row r="4073" ht="15">
      <c r="D4073" s="1290"/>
    </row>
    <row r="4074" ht="15">
      <c r="D4074" s="1290"/>
    </row>
    <row r="4075" ht="15">
      <c r="D4075" s="1290"/>
    </row>
    <row r="4076" ht="15">
      <c r="D4076" s="1290"/>
    </row>
    <row r="4077" ht="15">
      <c r="D4077" s="1290"/>
    </row>
    <row r="4078" ht="15">
      <c r="D4078" s="1290"/>
    </row>
    <row r="4079" ht="15">
      <c r="D4079" s="1290"/>
    </row>
    <row r="4080" ht="15">
      <c r="D4080" s="1290"/>
    </row>
    <row r="4081" ht="15">
      <c r="D4081" s="1290"/>
    </row>
    <row r="4082" ht="15">
      <c r="D4082" s="1290"/>
    </row>
    <row r="4083" ht="15">
      <c r="D4083" s="1290"/>
    </row>
    <row r="4084" ht="15">
      <c r="D4084" s="1290"/>
    </row>
    <row r="4085" ht="15">
      <c r="D4085" s="1290"/>
    </row>
    <row r="4086" ht="15">
      <c r="D4086" s="1290"/>
    </row>
    <row r="4087" ht="15">
      <c r="D4087" s="1290"/>
    </row>
    <row r="4088" ht="15">
      <c r="D4088" s="1290"/>
    </row>
    <row r="4089" ht="15">
      <c r="D4089" s="1290"/>
    </row>
    <row r="4090" ht="15">
      <c r="D4090" s="1290"/>
    </row>
    <row r="4091" ht="15">
      <c r="D4091" s="1290"/>
    </row>
    <row r="4092" ht="15">
      <c r="D4092" s="1290"/>
    </row>
    <row r="4093" ht="15">
      <c r="D4093" s="1290"/>
    </row>
    <row r="4094" ht="15">
      <c r="D4094" s="1290"/>
    </row>
    <row r="4095" ht="15">
      <c r="D4095" s="1290"/>
    </row>
    <row r="4096" ht="15">
      <c r="D4096" s="1290"/>
    </row>
    <row r="4097" ht="15">
      <c r="D4097" s="1290"/>
    </row>
    <row r="4098" ht="15">
      <c r="D4098" s="1290"/>
    </row>
    <row r="4099" ht="15">
      <c r="D4099" s="1290"/>
    </row>
    <row r="4100" ht="15">
      <c r="D4100" s="1290"/>
    </row>
    <row r="4101" ht="15">
      <c r="D4101" s="1290"/>
    </row>
    <row r="4102" ht="15">
      <c r="D4102" s="1290"/>
    </row>
    <row r="4103" ht="15">
      <c r="D4103" s="1290"/>
    </row>
    <row r="4104" ht="15">
      <c r="D4104" s="1290"/>
    </row>
    <row r="4105" ht="15">
      <c r="D4105" s="1290"/>
    </row>
    <row r="4106" ht="15">
      <c r="D4106" s="1290"/>
    </row>
    <row r="4107" ht="15">
      <c r="D4107" s="1290"/>
    </row>
    <row r="4108" ht="15">
      <c r="D4108" s="1290"/>
    </row>
    <row r="4109" ht="15">
      <c r="D4109" s="1290"/>
    </row>
    <row r="4110" ht="15">
      <c r="D4110" s="1290"/>
    </row>
    <row r="4111" ht="15">
      <c r="D4111" s="1290"/>
    </row>
    <row r="4112" ht="15">
      <c r="D4112" s="1290"/>
    </row>
    <row r="4113" ht="15">
      <c r="D4113" s="1290"/>
    </row>
    <row r="4114" ht="15">
      <c r="D4114" s="1290"/>
    </row>
    <row r="4115" ht="15">
      <c r="D4115" s="1290"/>
    </row>
    <row r="4116" ht="15">
      <c r="D4116" s="1290"/>
    </row>
    <row r="4117" ht="15">
      <c r="D4117" s="1290"/>
    </row>
    <row r="4118" ht="15">
      <c r="D4118" s="1290"/>
    </row>
    <row r="4119" ht="15">
      <c r="D4119" s="1290"/>
    </row>
    <row r="4120" ht="15">
      <c r="D4120" s="1290"/>
    </row>
    <row r="4121" ht="15">
      <c r="D4121" s="1290"/>
    </row>
    <row r="4122" ht="15">
      <c r="D4122" s="1290"/>
    </row>
    <row r="4123" ht="15">
      <c r="D4123" s="1290"/>
    </row>
    <row r="4124" ht="15">
      <c r="D4124" s="1290"/>
    </row>
    <row r="4125" ht="15">
      <c r="D4125" s="1290"/>
    </row>
    <row r="4126" ht="15">
      <c r="D4126" s="1290"/>
    </row>
    <row r="4127" ht="15">
      <c r="D4127" s="1290"/>
    </row>
    <row r="4128" ht="15">
      <c r="D4128" s="1290"/>
    </row>
    <row r="4129" ht="15">
      <c r="D4129" s="1290"/>
    </row>
    <row r="4130" ht="15">
      <c r="D4130" s="1290"/>
    </row>
    <row r="4131" ht="15">
      <c r="D4131" s="1290"/>
    </row>
    <row r="4132" ht="15">
      <c r="D4132" s="1290"/>
    </row>
    <row r="4133" ht="15">
      <c r="D4133" s="1290"/>
    </row>
    <row r="4134" ht="15">
      <c r="D4134" s="1290"/>
    </row>
    <row r="4135" ht="15">
      <c r="D4135" s="1290"/>
    </row>
    <row r="4136" ht="15">
      <c r="D4136" s="1290"/>
    </row>
    <row r="4137" ht="15">
      <c r="D4137" s="1290"/>
    </row>
    <row r="4138" ht="15">
      <c r="D4138" s="1290"/>
    </row>
    <row r="4139" ht="15">
      <c r="D4139" s="1290"/>
    </row>
    <row r="4140" ht="15">
      <c r="D4140" s="1290"/>
    </row>
    <row r="4141" ht="15">
      <c r="D4141" s="1290"/>
    </row>
    <row r="4142" ht="15">
      <c r="D4142" s="1290"/>
    </row>
    <row r="4143" ht="15">
      <c r="D4143" s="1290"/>
    </row>
    <row r="4144" ht="15">
      <c r="D4144" s="1290"/>
    </row>
    <row r="4145" ht="15">
      <c r="D4145" s="1290"/>
    </row>
    <row r="4146" ht="15">
      <c r="D4146" s="1290"/>
    </row>
    <row r="4147" ht="15">
      <c r="D4147" s="1290"/>
    </row>
    <row r="4148" ht="15">
      <c r="D4148" s="1290"/>
    </row>
    <row r="4149" ht="15">
      <c r="D4149" s="1290"/>
    </row>
    <row r="4150" ht="15">
      <c r="D4150" s="1290"/>
    </row>
    <row r="4151" ht="15">
      <c r="D4151" s="1290"/>
    </row>
    <row r="4152" ht="15">
      <c r="D4152" s="1290"/>
    </row>
    <row r="4153" ht="15">
      <c r="D4153" s="1290"/>
    </row>
    <row r="4154" ht="15">
      <c r="D4154" s="1290"/>
    </row>
    <row r="4155" ht="15">
      <c r="D4155" s="1290"/>
    </row>
    <row r="4156" ht="15">
      <c r="D4156" s="1290"/>
    </row>
    <row r="4157" ht="15">
      <c r="D4157" s="1290"/>
    </row>
    <row r="4158" ht="15">
      <c r="D4158" s="1290"/>
    </row>
    <row r="4159" ht="15">
      <c r="D4159" s="1290"/>
    </row>
    <row r="4160" ht="15">
      <c r="D4160" s="1290"/>
    </row>
    <row r="4161" ht="15">
      <c r="D4161" s="1290"/>
    </row>
    <row r="4162" ht="15">
      <c r="D4162" s="1290"/>
    </row>
    <row r="4163" ht="15">
      <c r="D4163" s="1290"/>
    </row>
    <row r="4164" ht="15">
      <c r="D4164" s="1290"/>
    </row>
    <row r="4165" ht="15">
      <c r="D4165" s="1290"/>
    </row>
    <row r="4166" ht="15">
      <c r="D4166" s="1290"/>
    </row>
    <row r="4167" ht="15">
      <c r="D4167" s="1290"/>
    </row>
    <row r="4168" ht="15">
      <c r="D4168" s="1290"/>
    </row>
    <row r="4169" ht="15">
      <c r="D4169" s="1290"/>
    </row>
    <row r="4170" ht="15">
      <c r="D4170" s="1290"/>
    </row>
    <row r="4171" ht="15">
      <c r="D4171" s="1290"/>
    </row>
    <row r="4172" ht="15">
      <c r="D4172" s="1290"/>
    </row>
    <row r="4173" ht="15">
      <c r="D4173" s="1290"/>
    </row>
    <row r="4174" ht="15">
      <c r="D4174" s="1290"/>
    </row>
    <row r="4175" ht="15">
      <c r="D4175" s="1290"/>
    </row>
    <row r="4176" ht="15">
      <c r="D4176" s="1290"/>
    </row>
    <row r="4177" ht="15">
      <c r="D4177" s="1290"/>
    </row>
    <row r="4178" ht="15">
      <c r="D4178" s="1290"/>
    </row>
    <row r="4179" ht="15">
      <c r="D4179" s="1290"/>
    </row>
    <row r="4180" ht="15">
      <c r="D4180" s="1290"/>
    </row>
    <row r="4181" ht="15">
      <c r="D4181" s="1290"/>
    </row>
    <row r="4182" ht="15">
      <c r="D4182" s="1290"/>
    </row>
    <row r="4183" ht="15">
      <c r="D4183" s="1290"/>
    </row>
    <row r="4184" ht="15">
      <c r="D4184" s="1290"/>
    </row>
    <row r="4185" ht="15">
      <c r="D4185" s="1290"/>
    </row>
    <row r="4186" ht="15">
      <c r="D4186" s="1290"/>
    </row>
    <row r="4187" ht="15">
      <c r="D4187" s="1290"/>
    </row>
    <row r="4188" ht="15">
      <c r="D4188" s="1290"/>
    </row>
    <row r="4189" ht="15">
      <c r="D4189" s="1290"/>
    </row>
    <row r="4190" ht="15">
      <c r="D4190" s="1290"/>
    </row>
    <row r="4191" ht="15">
      <c r="D4191" s="1290"/>
    </row>
    <row r="4192" ht="15">
      <c r="D4192" s="1290"/>
    </row>
    <row r="4193" ht="15">
      <c r="D4193" s="1290"/>
    </row>
    <row r="4194" ht="15">
      <c r="D4194" s="1290"/>
    </row>
    <row r="4195" ht="15">
      <c r="D4195" s="1290"/>
    </row>
    <row r="4196" ht="15">
      <c r="D4196" s="1290"/>
    </row>
    <row r="4197" ht="15">
      <c r="D4197" s="1290"/>
    </row>
    <row r="4198" ht="15">
      <c r="D4198" s="1290"/>
    </row>
    <row r="4199" ht="15">
      <c r="D4199" s="1290"/>
    </row>
    <row r="4200" ht="15">
      <c r="D4200" s="1290"/>
    </row>
    <row r="4201" ht="15">
      <c r="D4201" s="1290"/>
    </row>
    <row r="4202" ht="15">
      <c r="D4202" s="1290"/>
    </row>
    <row r="4203" ht="15">
      <c r="D4203" s="1290"/>
    </row>
    <row r="4204" ht="15">
      <c r="D4204" s="1290"/>
    </row>
    <row r="4205" ht="15">
      <c r="D4205" s="1290"/>
    </row>
    <row r="4206" ht="15">
      <c r="D4206" s="1290"/>
    </row>
    <row r="4207" ht="15">
      <c r="D4207" s="1290"/>
    </row>
    <row r="4208" ht="15">
      <c r="D4208" s="1290"/>
    </row>
    <row r="4209" ht="15">
      <c r="D4209" s="1290"/>
    </row>
    <row r="4210" ht="15">
      <c r="D4210" s="1290"/>
    </row>
    <row r="4211" ht="15">
      <c r="D4211" s="1290"/>
    </row>
    <row r="4212" ht="15">
      <c r="D4212" s="1290"/>
    </row>
    <row r="4213" ht="15">
      <c r="D4213" s="1290"/>
    </row>
    <row r="4214" ht="15">
      <c r="D4214" s="1290"/>
    </row>
    <row r="4215" ht="15">
      <c r="D4215" s="1290"/>
    </row>
    <row r="4216" ht="15">
      <c r="D4216" s="1290"/>
    </row>
    <row r="4217" ht="15">
      <c r="D4217" s="1290"/>
    </row>
    <row r="4218" ht="15">
      <c r="D4218" s="1290"/>
    </row>
    <row r="4219" ht="15">
      <c r="D4219" s="1290"/>
    </row>
    <row r="4220" ht="15">
      <c r="D4220" s="1290"/>
    </row>
    <row r="4221" ht="15">
      <c r="D4221" s="1290"/>
    </row>
    <row r="4222" ht="15">
      <c r="D4222" s="1290"/>
    </row>
    <row r="4223" ht="15">
      <c r="D4223" s="1290"/>
    </row>
    <row r="4224" ht="15">
      <c r="D4224" s="1290"/>
    </row>
    <row r="4225" ht="15">
      <c r="D4225" s="1290"/>
    </row>
    <row r="4226" ht="15">
      <c r="D4226" s="1290"/>
    </row>
    <row r="4227" ht="15">
      <c r="D4227" s="1290"/>
    </row>
    <row r="4228" ht="15">
      <c r="D4228" s="1290"/>
    </row>
    <row r="4229" ht="15">
      <c r="D4229" s="1290"/>
    </row>
    <row r="4230" ht="15">
      <c r="D4230" s="1290"/>
    </row>
    <row r="4231" ht="15">
      <c r="D4231" s="1290"/>
    </row>
    <row r="4232" ht="15">
      <c r="D4232" s="1290"/>
    </row>
    <row r="4233" ht="15">
      <c r="D4233" s="1290"/>
    </row>
    <row r="4234" ht="15">
      <c r="D4234" s="1290"/>
    </row>
    <row r="4235" ht="15">
      <c r="D4235" s="1290"/>
    </row>
    <row r="4236" ht="15">
      <c r="D4236" s="1290"/>
    </row>
    <row r="4237" ht="15">
      <c r="D4237" s="1290"/>
    </row>
    <row r="4238" ht="15">
      <c r="D4238" s="1290"/>
    </row>
    <row r="4239" ht="15">
      <c r="D4239" s="1290"/>
    </row>
    <row r="4240" ht="15">
      <c r="D4240" s="1290"/>
    </row>
    <row r="4241" ht="15">
      <c r="D4241" s="1290"/>
    </row>
    <row r="4242" ht="15">
      <c r="D4242" s="1290"/>
    </row>
    <row r="4243" ht="15">
      <c r="D4243" s="1290"/>
    </row>
    <row r="4244" ht="15">
      <c r="D4244" s="1290"/>
    </row>
    <row r="4245" ht="15">
      <c r="D4245" s="1290"/>
    </row>
    <row r="4246" ht="15">
      <c r="D4246" s="1290"/>
    </row>
    <row r="4247" ht="15">
      <c r="D4247" s="1290"/>
    </row>
    <row r="4248" ht="15">
      <c r="D4248" s="1290"/>
    </row>
    <row r="4249" ht="15">
      <c r="D4249" s="1290"/>
    </row>
    <row r="4250" ht="15">
      <c r="D4250" s="1290"/>
    </row>
    <row r="4251" ht="15">
      <c r="D4251" s="1290"/>
    </row>
    <row r="4252" ht="15">
      <c r="D4252" s="1290"/>
    </row>
    <row r="4253" ht="15">
      <c r="D4253" s="1290"/>
    </row>
    <row r="4254" ht="15">
      <c r="D4254" s="1290"/>
    </row>
    <row r="4255" ht="15">
      <c r="D4255" s="1290"/>
    </row>
    <row r="4256" ht="15">
      <c r="D4256" s="1290"/>
    </row>
    <row r="4257" ht="15">
      <c r="D4257" s="1290"/>
    </row>
    <row r="4258" ht="15">
      <c r="D4258" s="1290"/>
    </row>
    <row r="4259" ht="15">
      <c r="D4259" s="1290"/>
    </row>
    <row r="4260" ht="15">
      <c r="D4260" s="1290"/>
    </row>
    <row r="4261" ht="15">
      <c r="D4261" s="1290"/>
    </row>
    <row r="4262" ht="15">
      <c r="D4262" s="1290"/>
    </row>
    <row r="4263" ht="15">
      <c r="D4263" s="1290"/>
    </row>
    <row r="4264" ht="15">
      <c r="D4264" s="1290"/>
    </row>
    <row r="4265" ht="15">
      <c r="D4265" s="1290"/>
    </row>
    <row r="4266" ht="15">
      <c r="D4266" s="1290"/>
    </row>
    <row r="4267" ht="15">
      <c r="D4267" s="1290"/>
    </row>
    <row r="4268" ht="15">
      <c r="D4268" s="1290"/>
    </row>
    <row r="4269" ht="15">
      <c r="D4269" s="1290"/>
    </row>
    <row r="4270" ht="15">
      <c r="D4270" s="1290"/>
    </row>
    <row r="4271" ht="15">
      <c r="D4271" s="1290"/>
    </row>
    <row r="4272" ht="15">
      <c r="D4272" s="1290"/>
    </row>
    <row r="4273" ht="15">
      <c r="D4273" s="1290"/>
    </row>
    <row r="4274" ht="15">
      <c r="D4274" s="1290"/>
    </row>
    <row r="4275" ht="15">
      <c r="D4275" s="1290"/>
    </row>
    <row r="4276" ht="15">
      <c r="D4276" s="1290"/>
    </row>
    <row r="4277" ht="15">
      <c r="D4277" s="1290"/>
    </row>
    <row r="4278" ht="15">
      <c r="D4278" s="1290"/>
    </row>
    <row r="4279" ht="15">
      <c r="D4279" s="1290"/>
    </row>
    <row r="4280" ht="15">
      <c r="D4280" s="1290"/>
    </row>
    <row r="4281" ht="15">
      <c r="D4281" s="1290"/>
    </row>
    <row r="4282" ht="15">
      <c r="D4282" s="1290"/>
    </row>
    <row r="4283" ht="15">
      <c r="D4283" s="1290"/>
    </row>
    <row r="4284" ht="15">
      <c r="D4284" s="1290"/>
    </row>
    <row r="4285" ht="15">
      <c r="D4285" s="1290"/>
    </row>
    <row r="4286" ht="15">
      <c r="D4286" s="1290"/>
    </row>
    <row r="4287" ht="15">
      <c r="D4287" s="1290"/>
    </row>
    <row r="4288" ht="15">
      <c r="D4288" s="1290"/>
    </row>
    <row r="4289" ht="15">
      <c r="D4289" s="1290"/>
    </row>
    <row r="4290" ht="15">
      <c r="D4290" s="1290"/>
    </row>
    <row r="4291" ht="15">
      <c r="D4291" s="1290"/>
    </row>
    <row r="4292" ht="15">
      <c r="D4292" s="1290"/>
    </row>
    <row r="4293" ht="15">
      <c r="D4293" s="1290"/>
    </row>
    <row r="4294" ht="15">
      <c r="D4294" s="1290"/>
    </row>
    <row r="4295" ht="15">
      <c r="D4295" s="1290"/>
    </row>
    <row r="4296" ht="15">
      <c r="D4296" s="1290"/>
    </row>
    <row r="4297" ht="15">
      <c r="D4297" s="1290"/>
    </row>
    <row r="4298" ht="15">
      <c r="D4298" s="1290"/>
    </row>
    <row r="4299" ht="15">
      <c r="D4299" s="1290"/>
    </row>
    <row r="4300" ht="15">
      <c r="D4300" s="1290"/>
    </row>
    <row r="4301" ht="15">
      <c r="D4301" s="1290"/>
    </row>
    <row r="4302" ht="15">
      <c r="D4302" s="1290"/>
    </row>
    <row r="4303" ht="15">
      <c r="D4303" s="1290"/>
    </row>
    <row r="4304" ht="15">
      <c r="D4304" s="1290"/>
    </row>
    <row r="4305" ht="15">
      <c r="D4305" s="1290"/>
    </row>
    <row r="4306" ht="15">
      <c r="D4306" s="1290"/>
    </row>
    <row r="4307" ht="15">
      <c r="D4307" s="1290"/>
    </row>
    <row r="4308" ht="15">
      <c r="D4308" s="1290"/>
    </row>
    <row r="4309" ht="15">
      <c r="D4309" s="1290"/>
    </row>
    <row r="4310" ht="15">
      <c r="D4310" s="1290"/>
    </row>
    <row r="4311" ht="15">
      <c r="D4311" s="1290"/>
    </row>
    <row r="4312" ht="15">
      <c r="D4312" s="1290"/>
    </row>
    <row r="4313" ht="15">
      <c r="D4313" s="1290"/>
    </row>
    <row r="4314" ht="15">
      <c r="D4314" s="1290"/>
    </row>
    <row r="4315" ht="15">
      <c r="D4315" s="1290"/>
    </row>
    <row r="4316" ht="15">
      <c r="D4316" s="1290"/>
    </row>
    <row r="4317" ht="15">
      <c r="D4317" s="1290"/>
    </row>
    <row r="4318" ht="15">
      <c r="D4318" s="1290"/>
    </row>
    <row r="4319" ht="15">
      <c r="D4319" s="1290"/>
    </row>
    <row r="4320" ht="15">
      <c r="D4320" s="1290"/>
    </row>
    <row r="4321" ht="15">
      <c r="D4321" s="1290"/>
    </row>
    <row r="4322" ht="15">
      <c r="D4322" s="1290"/>
    </row>
    <row r="4323" ht="15">
      <c r="D4323" s="1290"/>
    </row>
    <row r="4324" ht="15">
      <c r="D4324" s="1290"/>
    </row>
    <row r="4325" ht="15">
      <c r="D4325" s="1290"/>
    </row>
    <row r="4326" ht="15">
      <c r="D4326" s="1290"/>
    </row>
    <row r="4327" ht="15">
      <c r="D4327" s="1290"/>
    </row>
    <row r="4328" ht="15">
      <c r="D4328" s="1290"/>
    </row>
    <row r="4329" ht="15">
      <c r="D4329" s="1290"/>
    </row>
    <row r="4330" ht="15">
      <c r="D4330" s="1290"/>
    </row>
    <row r="4331" ht="15">
      <c r="D4331" s="1290"/>
    </row>
    <row r="4332" ht="15">
      <c r="D4332" s="1290"/>
    </row>
    <row r="4333" ht="15">
      <c r="D4333" s="1290"/>
    </row>
    <row r="4334" ht="15">
      <c r="D4334" s="1290"/>
    </row>
    <row r="4335" ht="15">
      <c r="D4335" s="1290"/>
    </row>
    <row r="4336" ht="15">
      <c r="D4336" s="1290"/>
    </row>
    <row r="4337" ht="15">
      <c r="D4337" s="1290"/>
    </row>
    <row r="4338" ht="15">
      <c r="D4338" s="1290"/>
    </row>
    <row r="4339" ht="15">
      <c r="D4339" s="1290"/>
    </row>
    <row r="4340" ht="15">
      <c r="D4340" s="1290"/>
    </row>
    <row r="4341" ht="15">
      <c r="D4341" s="1290"/>
    </row>
    <row r="4342" ht="15">
      <c r="D4342" s="1290"/>
    </row>
    <row r="4343" ht="15">
      <c r="D4343" s="1290"/>
    </row>
    <row r="4344" ht="15">
      <c r="D4344" s="1290"/>
    </row>
    <row r="4345" ht="15">
      <c r="D4345" s="1290"/>
    </row>
    <row r="4346" ht="15">
      <c r="D4346" s="1290"/>
    </row>
    <row r="4347" ht="15">
      <c r="D4347" s="1290"/>
    </row>
    <row r="4348" ht="15">
      <c r="D4348" s="1290"/>
    </row>
    <row r="4349" ht="15">
      <c r="D4349" s="1290"/>
    </row>
    <row r="4350" ht="15">
      <c r="D4350" s="1290"/>
    </row>
    <row r="4351" ht="15">
      <c r="D4351" s="1290"/>
    </row>
    <row r="4352" ht="15">
      <c r="D4352" s="1290"/>
    </row>
    <row r="4353" ht="15">
      <c r="D4353" s="1290"/>
    </row>
    <row r="4354" ht="15">
      <c r="D4354" s="1290"/>
    </row>
    <row r="4355" ht="15">
      <c r="D4355" s="1290"/>
    </row>
    <row r="4356" ht="15">
      <c r="D4356" s="1290"/>
    </row>
    <row r="4357" ht="15">
      <c r="D4357" s="1290"/>
    </row>
    <row r="4358" ht="15">
      <c r="D4358" s="1290"/>
    </row>
    <row r="4359" ht="15">
      <c r="D4359" s="1290"/>
    </row>
    <row r="4360" ht="15">
      <c r="D4360" s="1290"/>
    </row>
    <row r="4361" ht="15">
      <c r="D4361" s="1290"/>
    </row>
    <row r="4362" ht="15">
      <c r="D4362" s="1290"/>
    </row>
    <row r="4363" ht="15">
      <c r="D4363" s="1290"/>
    </row>
    <row r="4364" ht="15">
      <c r="D4364" s="1290"/>
    </row>
    <row r="4365" ht="15">
      <c r="D4365" s="1290"/>
    </row>
    <row r="4366" ht="15">
      <c r="D4366" s="1290"/>
    </row>
    <row r="4367" ht="15">
      <c r="D4367" s="1290"/>
    </row>
    <row r="4368" ht="15">
      <c r="D4368" s="1290"/>
    </row>
    <row r="4369" ht="15">
      <c r="D4369" s="1290"/>
    </row>
    <row r="4370" ht="15">
      <c r="D4370" s="1290"/>
    </row>
    <row r="4371" ht="15">
      <c r="D4371" s="1290"/>
    </row>
    <row r="4372" ht="15">
      <c r="D4372" s="1290"/>
    </row>
    <row r="4373" ht="15">
      <c r="D4373" s="1290"/>
    </row>
    <row r="4374" ht="15">
      <c r="D4374" s="1290"/>
    </row>
    <row r="4375" ht="15">
      <c r="D4375" s="1290"/>
    </row>
    <row r="4376" ht="15">
      <c r="D4376" s="1290"/>
    </row>
    <row r="4377" ht="15">
      <c r="D4377" s="1290"/>
    </row>
    <row r="4378" ht="15">
      <c r="D4378" s="1290"/>
    </row>
    <row r="4379" ht="15">
      <c r="D4379" s="1290"/>
    </row>
    <row r="4380" ht="15">
      <c r="D4380" s="1290"/>
    </row>
    <row r="4381" ht="15">
      <c r="D4381" s="1290"/>
    </row>
    <row r="4382" ht="15">
      <c r="D4382" s="1290"/>
    </row>
    <row r="4383" ht="15">
      <c r="D4383" s="1290"/>
    </row>
    <row r="4384" ht="15">
      <c r="D4384" s="1290"/>
    </row>
    <row r="4385" ht="15">
      <c r="D4385" s="1290"/>
    </row>
    <row r="4386" ht="15">
      <c r="D4386" s="1290"/>
    </row>
    <row r="4387" ht="15">
      <c r="D4387" s="1290"/>
    </row>
    <row r="4388" ht="15">
      <c r="D4388" s="1290"/>
    </row>
    <row r="4389" ht="15">
      <c r="D4389" s="1290"/>
    </row>
    <row r="4390" ht="15">
      <c r="D4390" s="1290"/>
    </row>
    <row r="4391" ht="15">
      <c r="D4391" s="1290"/>
    </row>
    <row r="4392" ht="15">
      <c r="D4392" s="1290"/>
    </row>
    <row r="4393" ht="15">
      <c r="D4393" s="1290"/>
    </row>
    <row r="4394" ht="15">
      <c r="D4394" s="1290"/>
    </row>
    <row r="4395" ht="15">
      <c r="D4395" s="1290"/>
    </row>
    <row r="4396" ht="15">
      <c r="D4396" s="1290"/>
    </row>
    <row r="4397" ht="15">
      <c r="D4397" s="1290"/>
    </row>
    <row r="4398" ht="15">
      <c r="D4398" s="1290"/>
    </row>
    <row r="4399" ht="15">
      <c r="D4399" s="1290"/>
    </row>
    <row r="4400" ht="15">
      <c r="D4400" s="1290"/>
    </row>
    <row r="4401" ht="15">
      <c r="D4401" s="1290"/>
    </row>
    <row r="4402" ht="15">
      <c r="D4402" s="1290"/>
    </row>
    <row r="4403" ht="15">
      <c r="D4403" s="1290"/>
    </row>
    <row r="4404" ht="15">
      <c r="D4404" s="1290"/>
    </row>
    <row r="4405" ht="15">
      <c r="D4405" s="1290"/>
    </row>
    <row r="4406" ht="15">
      <c r="D4406" s="1290"/>
    </row>
    <row r="4407" ht="15">
      <c r="D4407" s="1290"/>
    </row>
    <row r="4408" ht="15">
      <c r="D4408" s="1290"/>
    </row>
    <row r="4409" ht="15">
      <c r="D4409" s="1290"/>
    </row>
    <row r="4410" ht="15">
      <c r="D4410" s="1290"/>
    </row>
    <row r="4411" ht="15">
      <c r="D4411" s="1290"/>
    </row>
    <row r="4412" ht="15">
      <c r="D4412" s="1290"/>
    </row>
    <row r="4413" ht="15">
      <c r="D4413" s="1290"/>
    </row>
    <row r="4414" ht="15">
      <c r="D4414" s="1290"/>
    </row>
    <row r="4415" ht="15">
      <c r="D4415" s="1290"/>
    </row>
    <row r="4416" ht="15">
      <c r="D4416" s="1290"/>
    </row>
    <row r="4417" ht="15">
      <c r="D4417" s="1290"/>
    </row>
    <row r="4418" ht="15">
      <c r="D4418" s="1290"/>
    </row>
    <row r="4419" ht="15">
      <c r="D4419" s="1290"/>
    </row>
    <row r="4420" ht="15">
      <c r="D4420" s="1290"/>
    </row>
    <row r="4421" ht="15">
      <c r="D4421" s="1290"/>
    </row>
    <row r="4422" ht="15">
      <c r="D4422" s="1290"/>
    </row>
    <row r="4423" ht="15">
      <c r="D4423" s="1290"/>
    </row>
    <row r="4424" ht="15">
      <c r="D4424" s="1290"/>
    </row>
    <row r="4425" ht="15">
      <c r="D4425" s="1290"/>
    </row>
    <row r="4426" ht="15">
      <c r="D4426" s="1290"/>
    </row>
    <row r="4427" ht="15">
      <c r="D4427" s="1290"/>
    </row>
    <row r="4428" ht="15">
      <c r="D4428" s="1290"/>
    </row>
    <row r="4429" ht="15">
      <c r="D4429" s="1290"/>
    </row>
    <row r="4430" ht="15">
      <c r="D4430" s="1290"/>
    </row>
    <row r="4431" ht="15">
      <c r="D4431" s="1290"/>
    </row>
    <row r="4432" ht="15">
      <c r="D4432" s="1290"/>
    </row>
    <row r="4433" ht="15">
      <c r="D4433" s="1290"/>
    </row>
    <row r="4434" ht="15">
      <c r="D4434" s="1290"/>
    </row>
    <row r="4435" ht="15">
      <c r="D4435" s="1290"/>
    </row>
    <row r="4436" ht="15">
      <c r="D4436" s="1290"/>
    </row>
    <row r="4437" ht="15">
      <c r="D4437" s="1290"/>
    </row>
    <row r="4438" ht="15">
      <c r="D4438" s="1290"/>
    </row>
    <row r="4439" ht="15">
      <c r="D4439" s="1290"/>
    </row>
    <row r="4440" ht="15">
      <c r="D4440" s="1290"/>
    </row>
    <row r="4441" ht="15">
      <c r="D4441" s="1290"/>
    </row>
    <row r="4442" ht="15">
      <c r="D4442" s="1290"/>
    </row>
    <row r="4443" ht="15">
      <c r="D4443" s="1290"/>
    </row>
    <row r="4444" ht="15">
      <c r="D4444" s="1290"/>
    </row>
    <row r="4445" ht="15">
      <c r="D4445" s="1290"/>
    </row>
    <row r="4446" ht="15">
      <c r="D4446" s="1290"/>
    </row>
    <row r="4447" ht="15">
      <c r="D4447" s="1290"/>
    </row>
    <row r="4448" ht="15">
      <c r="D4448" s="1290"/>
    </row>
    <row r="4449" ht="15">
      <c r="D4449" s="1290"/>
    </row>
    <row r="4450" ht="15">
      <c r="D4450" s="1290"/>
    </row>
    <row r="4451" ht="15">
      <c r="D4451" s="1290"/>
    </row>
    <row r="4452" ht="15">
      <c r="D4452" s="1290"/>
    </row>
    <row r="4453" ht="15">
      <c r="D4453" s="1290"/>
    </row>
    <row r="4454" ht="15">
      <c r="D4454" s="1290"/>
    </row>
    <row r="4455" ht="15">
      <c r="D4455" s="1290"/>
    </row>
    <row r="4456" ht="15">
      <c r="D4456" s="1290"/>
    </row>
    <row r="4457" ht="15">
      <c r="D4457" s="1290"/>
    </row>
    <row r="4458" ht="15">
      <c r="D4458" s="1290"/>
    </row>
    <row r="4459" ht="15">
      <c r="D4459" s="1290"/>
    </row>
    <row r="4460" ht="15">
      <c r="D4460" s="1290"/>
    </row>
    <row r="4461" ht="15">
      <c r="D4461" s="1290"/>
    </row>
    <row r="4462" ht="15">
      <c r="D4462" s="1290"/>
    </row>
    <row r="4463" ht="15">
      <c r="D4463" s="1290"/>
    </row>
    <row r="4464" ht="15">
      <c r="D4464" s="1290"/>
    </row>
    <row r="4465" ht="15">
      <c r="D4465" s="1290"/>
    </row>
    <row r="4466" ht="15">
      <c r="D4466" s="1290"/>
    </row>
    <row r="4467" ht="15">
      <c r="D4467" s="1290"/>
    </row>
    <row r="4468" ht="15">
      <c r="D4468" s="1290"/>
    </row>
    <row r="4469" ht="15">
      <c r="D4469" s="1290"/>
    </row>
    <row r="4470" ht="15">
      <c r="D4470" s="1290"/>
    </row>
    <row r="4471" ht="15">
      <c r="D4471" s="1290"/>
    </row>
    <row r="4472" ht="15">
      <c r="D4472" s="1290"/>
    </row>
    <row r="4473" ht="15">
      <c r="D4473" s="1290"/>
    </row>
    <row r="4474" ht="15">
      <c r="D4474" s="1290"/>
    </row>
    <row r="4475" ht="15">
      <c r="D4475" s="1290"/>
    </row>
    <row r="4476" ht="15">
      <c r="D4476" s="1290"/>
    </row>
    <row r="4477" ht="15">
      <c r="D4477" s="1290"/>
    </row>
    <row r="4478" ht="15">
      <c r="D4478" s="1290"/>
    </row>
    <row r="4479" ht="15">
      <c r="D4479" s="1290"/>
    </row>
    <row r="4480" ht="15">
      <c r="D4480" s="1290"/>
    </row>
    <row r="4481" ht="15">
      <c r="D4481" s="1290"/>
    </row>
    <row r="4482" ht="15">
      <c r="D4482" s="1290"/>
    </row>
    <row r="4483" ht="15">
      <c r="D4483" s="1290"/>
    </row>
    <row r="4484" ht="15">
      <c r="D4484" s="1290"/>
    </row>
    <row r="4485" ht="15">
      <c r="D4485" s="1290"/>
    </row>
    <row r="4486" ht="15">
      <c r="D4486" s="1290"/>
    </row>
    <row r="4487" ht="15">
      <c r="D4487" s="1290"/>
    </row>
    <row r="4488" ht="15">
      <c r="D4488" s="1290"/>
    </row>
    <row r="4489" ht="15">
      <c r="D4489" s="1290"/>
    </row>
    <row r="4490" ht="15">
      <c r="D4490" s="1290"/>
    </row>
    <row r="4491" ht="15">
      <c r="D4491" s="1290"/>
    </row>
    <row r="4492" ht="15">
      <c r="D4492" s="1290"/>
    </row>
    <row r="4493" ht="15">
      <c r="D4493" s="1290"/>
    </row>
    <row r="4494" ht="15">
      <c r="D4494" s="1290"/>
    </row>
    <row r="4495" ht="15">
      <c r="D4495" s="1290"/>
    </row>
    <row r="4496" ht="15">
      <c r="D4496" s="1290"/>
    </row>
    <row r="4497" ht="15">
      <c r="D4497" s="1290"/>
    </row>
    <row r="4498" ht="15">
      <c r="D4498" s="1290"/>
    </row>
    <row r="4499" ht="15">
      <c r="D4499" s="1290"/>
    </row>
    <row r="4500" ht="15">
      <c r="D4500" s="1290"/>
    </row>
    <row r="4501" ht="15">
      <c r="D4501" s="1290"/>
    </row>
    <row r="4502" ht="15">
      <c r="D4502" s="1290"/>
    </row>
    <row r="4503" ht="15">
      <c r="D4503" s="1290"/>
    </row>
    <row r="4504" ht="15">
      <c r="D4504" s="1290"/>
    </row>
    <row r="4505" ht="15">
      <c r="D4505" s="1290"/>
    </row>
    <row r="4506" ht="15">
      <c r="D4506" s="1290"/>
    </row>
    <row r="4507" ht="15">
      <c r="D4507" s="1290"/>
    </row>
    <row r="4508" ht="15">
      <c r="D4508" s="1290"/>
    </row>
    <row r="4509" ht="15">
      <c r="D4509" s="1290"/>
    </row>
    <row r="4510" ht="15">
      <c r="D4510" s="1290"/>
    </row>
    <row r="4511" ht="15">
      <c r="D4511" s="1290"/>
    </row>
    <row r="4512" ht="15">
      <c r="D4512" s="1290"/>
    </row>
    <row r="4513" ht="15">
      <c r="D4513" s="1290"/>
    </row>
    <row r="4514" ht="15">
      <c r="D4514" s="1290"/>
    </row>
    <row r="4515" ht="15">
      <c r="D4515" s="1290"/>
    </row>
    <row r="4516" ht="15">
      <c r="D4516" s="1290"/>
    </row>
    <row r="4517" ht="15">
      <c r="D4517" s="1290"/>
    </row>
    <row r="4518" ht="15">
      <c r="D4518" s="1290"/>
    </row>
    <row r="4519" ht="15">
      <c r="D4519" s="1290"/>
    </row>
    <row r="4520" ht="15">
      <c r="D4520" s="1290"/>
    </row>
    <row r="4521" ht="15">
      <c r="D4521" s="1290"/>
    </row>
    <row r="4522" ht="15">
      <c r="D4522" s="1290"/>
    </row>
    <row r="4523" ht="15">
      <c r="D4523" s="1290"/>
    </row>
    <row r="4524" ht="15">
      <c r="D4524" s="1290"/>
    </row>
    <row r="4525" ht="15">
      <c r="D4525" s="1290"/>
    </row>
    <row r="4526" ht="15">
      <c r="D4526" s="1290"/>
    </row>
    <row r="4527" ht="15">
      <c r="D4527" s="1290"/>
    </row>
    <row r="4528" ht="15">
      <c r="D4528" s="1290"/>
    </row>
    <row r="4529" ht="15">
      <c r="D4529" s="1290"/>
    </row>
    <row r="4530" ht="15">
      <c r="D4530" s="1290"/>
    </row>
    <row r="4531" ht="15">
      <c r="D4531" s="1290"/>
    </row>
    <row r="4532" ht="15">
      <c r="D4532" s="1290"/>
    </row>
    <row r="4533" ht="15">
      <c r="D4533" s="1290"/>
    </row>
    <row r="4534" ht="15">
      <c r="D4534" s="1290"/>
    </row>
    <row r="4535" ht="15">
      <c r="D4535" s="1290"/>
    </row>
    <row r="4536" ht="15">
      <c r="D4536" s="1290"/>
    </row>
    <row r="4537" ht="15">
      <c r="D4537" s="1290"/>
    </row>
    <row r="4538" ht="15">
      <c r="D4538" s="1290"/>
    </row>
    <row r="4539" ht="15">
      <c r="D4539" s="1290"/>
    </row>
    <row r="4540" ht="15">
      <c r="D4540" s="1290"/>
    </row>
    <row r="4541" ht="15">
      <c r="D4541" s="1290"/>
    </row>
    <row r="4542" ht="15">
      <c r="D4542" s="1290"/>
    </row>
    <row r="4543" ht="15">
      <c r="D4543" s="1290"/>
    </row>
    <row r="4544" ht="15">
      <c r="D4544" s="1290"/>
    </row>
    <row r="4545" ht="15">
      <c r="D4545" s="1290"/>
    </row>
    <row r="4546" ht="15">
      <c r="D4546" s="1290"/>
    </row>
    <row r="4547" ht="15">
      <c r="D4547" s="1290"/>
    </row>
    <row r="4548" ht="15">
      <c r="D4548" s="1290"/>
    </row>
    <row r="4549" ht="15">
      <c r="D4549" s="1290"/>
    </row>
    <row r="4550" ht="15">
      <c r="D4550" s="1290"/>
    </row>
    <row r="4551" ht="15">
      <c r="D4551" s="1290"/>
    </row>
    <row r="4552" ht="15">
      <c r="D4552" s="1290"/>
    </row>
    <row r="4553" ht="15">
      <c r="D4553" s="1290"/>
    </row>
    <row r="4554" ht="15">
      <c r="D4554" s="1290"/>
    </row>
    <row r="4555" ht="15">
      <c r="D4555" s="1290"/>
    </row>
    <row r="4556" ht="15">
      <c r="D4556" s="1290"/>
    </row>
    <row r="4557" ht="15">
      <c r="D4557" s="1290"/>
    </row>
    <row r="4558" ht="15">
      <c r="D4558" s="1290"/>
    </row>
    <row r="4559" ht="15">
      <c r="D4559" s="1290"/>
    </row>
    <row r="4560" ht="15">
      <c r="D4560" s="1290"/>
    </row>
    <row r="4561" ht="15">
      <c r="D4561" s="1290"/>
    </row>
    <row r="4562" ht="15">
      <c r="D4562" s="1290"/>
    </row>
    <row r="4563" ht="15">
      <c r="D4563" s="1290"/>
    </row>
    <row r="4564" ht="15">
      <c r="D4564" s="1290"/>
    </row>
    <row r="4565" ht="15">
      <c r="D4565" s="1290"/>
    </row>
    <row r="4566" ht="15">
      <c r="D4566" s="1290"/>
    </row>
    <row r="4567" ht="15">
      <c r="D4567" s="1290"/>
    </row>
    <row r="4568" ht="15">
      <c r="D4568" s="1290"/>
    </row>
    <row r="4569" ht="15">
      <c r="D4569" s="1290"/>
    </row>
    <row r="4570" ht="15">
      <c r="D4570" s="1290"/>
    </row>
    <row r="4571" ht="15">
      <c r="D4571" s="1290"/>
    </row>
    <row r="4572" ht="15">
      <c r="D4572" s="1290"/>
    </row>
    <row r="4573" ht="15">
      <c r="D4573" s="1290"/>
    </row>
    <row r="4574" ht="15">
      <c r="D4574" s="1290"/>
    </row>
    <row r="4575" ht="15">
      <c r="D4575" s="1290"/>
    </row>
    <row r="4576" ht="15">
      <c r="D4576" s="1290"/>
    </row>
    <row r="4577" ht="15">
      <c r="D4577" s="1290"/>
    </row>
    <row r="4578" ht="15">
      <c r="D4578" s="1290"/>
    </row>
    <row r="4579" ht="15">
      <c r="D4579" s="1290"/>
    </row>
    <row r="4580" ht="15">
      <c r="D4580" s="1290"/>
    </row>
    <row r="4581" ht="15">
      <c r="D4581" s="1290"/>
    </row>
    <row r="4582" ht="15">
      <c r="D4582" s="1290"/>
    </row>
    <row r="4583" ht="15">
      <c r="D4583" s="1290"/>
    </row>
    <row r="4584" ht="15">
      <c r="D4584" s="1290"/>
    </row>
    <row r="4585" ht="15">
      <c r="D4585" s="1290"/>
    </row>
    <row r="4586" ht="15">
      <c r="D4586" s="1290"/>
    </row>
    <row r="4587" ht="15">
      <c r="D4587" s="1290"/>
    </row>
    <row r="4588" ht="15">
      <c r="D4588" s="1290"/>
    </row>
    <row r="4589" ht="15">
      <c r="D4589" s="1290"/>
    </row>
    <row r="4590" ht="15">
      <c r="D4590" s="1290"/>
    </row>
    <row r="4591" ht="15">
      <c r="D4591" s="1290"/>
    </row>
    <row r="4592" ht="15">
      <c r="D4592" s="1290"/>
    </row>
    <row r="4593" ht="15">
      <c r="D4593" s="1290"/>
    </row>
    <row r="4594" ht="15">
      <c r="D4594" s="1290"/>
    </row>
    <row r="4595" ht="15">
      <c r="D4595" s="1290"/>
    </row>
    <row r="4596" ht="15">
      <c r="D4596" s="1290"/>
    </row>
    <row r="4597" ht="15">
      <c r="D4597" s="1290"/>
    </row>
    <row r="4598" ht="15">
      <c r="D4598" s="1290"/>
    </row>
    <row r="4599" ht="15">
      <c r="D4599" s="1290"/>
    </row>
    <row r="4600" ht="15">
      <c r="D4600" s="1290"/>
    </row>
    <row r="4601" ht="15">
      <c r="D4601" s="1290"/>
    </row>
    <row r="4602" ht="15">
      <c r="D4602" s="1290"/>
    </row>
    <row r="4603" ht="15">
      <c r="D4603" s="1290"/>
    </row>
    <row r="4604" ht="15">
      <c r="D4604" s="1290"/>
    </row>
    <row r="4605" ht="15">
      <c r="D4605" s="1290"/>
    </row>
    <row r="4606" ht="15">
      <c r="D4606" s="1290"/>
    </row>
    <row r="4607" ht="15">
      <c r="D4607" s="1290"/>
    </row>
    <row r="4608" ht="15">
      <c r="D4608" s="1290"/>
    </row>
    <row r="4609" ht="15">
      <c r="D4609" s="1290"/>
    </row>
    <row r="4610" ht="15">
      <c r="D4610" s="1290"/>
    </row>
    <row r="4611" ht="15">
      <c r="D4611" s="1290"/>
    </row>
    <row r="4612" ht="15">
      <c r="D4612" s="1290"/>
    </row>
    <row r="4613" ht="15">
      <c r="D4613" s="1290"/>
    </row>
    <row r="4614" ht="15">
      <c r="D4614" s="1290"/>
    </row>
    <row r="4615" ht="15">
      <c r="D4615" s="1290"/>
    </row>
    <row r="4616" ht="15">
      <c r="D4616" s="1290"/>
    </row>
    <row r="4617" ht="15">
      <c r="D4617" s="1290"/>
    </row>
    <row r="4618" ht="15">
      <c r="D4618" s="1290"/>
    </row>
    <row r="4619" ht="15">
      <c r="D4619" s="1290"/>
    </row>
    <row r="4620" ht="15">
      <c r="D4620" s="1290"/>
    </row>
    <row r="4621" ht="15">
      <c r="D4621" s="1290"/>
    </row>
    <row r="4622" ht="15">
      <c r="D4622" s="1290"/>
    </row>
    <row r="4623" ht="15">
      <c r="D4623" s="1290"/>
    </row>
    <row r="4624" ht="15">
      <c r="D4624" s="1290"/>
    </row>
    <row r="4625" ht="15">
      <c r="D4625" s="1290"/>
    </row>
    <row r="4626" ht="15">
      <c r="D4626" s="1290"/>
    </row>
    <row r="4627" ht="15">
      <c r="D4627" s="1290"/>
    </row>
    <row r="4628" ht="15">
      <c r="D4628" s="1290"/>
    </row>
    <row r="4629" ht="15">
      <c r="D4629" s="1290"/>
    </row>
    <row r="4630" ht="15">
      <c r="D4630" s="1290"/>
    </row>
    <row r="4631" ht="15">
      <c r="D4631" s="1290"/>
    </row>
    <row r="4632" ht="15">
      <c r="D4632" s="1290"/>
    </row>
    <row r="4633" ht="15">
      <c r="D4633" s="1290"/>
    </row>
    <row r="4634" ht="15">
      <c r="D4634" s="1290"/>
    </row>
    <row r="4635" ht="15">
      <c r="D4635" s="1290"/>
    </row>
    <row r="4636" ht="15">
      <c r="D4636" s="1290"/>
    </row>
    <row r="4637" ht="15">
      <c r="D4637" s="1290"/>
    </row>
    <row r="4638" ht="15">
      <c r="D4638" s="1290"/>
    </row>
    <row r="4639" ht="15">
      <c r="D4639" s="1290"/>
    </row>
    <row r="4640" ht="15">
      <c r="D4640" s="1290"/>
    </row>
    <row r="4641" ht="15">
      <c r="D4641" s="1290"/>
    </row>
    <row r="4642" ht="15">
      <c r="D4642" s="1290"/>
    </row>
    <row r="4643" ht="15">
      <c r="D4643" s="1290"/>
    </row>
    <row r="4644" ht="15">
      <c r="D4644" s="1290"/>
    </row>
    <row r="4645" ht="15">
      <c r="D4645" s="1290"/>
    </row>
    <row r="4646" ht="15">
      <c r="D4646" s="1290"/>
    </row>
    <row r="4647" ht="15">
      <c r="D4647" s="1290"/>
    </row>
    <row r="4648" ht="15">
      <c r="D4648" s="1290"/>
    </row>
    <row r="4649" ht="15">
      <c r="D4649" s="1290"/>
    </row>
    <row r="4650" ht="15">
      <c r="D4650" s="1290"/>
    </row>
    <row r="4651" ht="15">
      <c r="D4651" s="1290"/>
    </row>
    <row r="4652" ht="15">
      <c r="D4652" s="1290"/>
    </row>
    <row r="4653" ht="15">
      <c r="D4653" s="1290"/>
    </row>
    <row r="4654" ht="15">
      <c r="D4654" s="1290"/>
    </row>
    <row r="4655" ht="15">
      <c r="D4655" s="1290"/>
    </row>
    <row r="4656" ht="15">
      <c r="D4656" s="1290"/>
    </row>
    <row r="4657" ht="15">
      <c r="D4657" s="1290"/>
    </row>
    <row r="4658" ht="15">
      <c r="D4658" s="1290"/>
    </row>
    <row r="4659" ht="15">
      <c r="D4659" s="1290"/>
    </row>
    <row r="4660" ht="15">
      <c r="D4660" s="1290"/>
    </row>
    <row r="4661" ht="15">
      <c r="D4661" s="1290"/>
    </row>
    <row r="4662" ht="15">
      <c r="D4662" s="1290"/>
    </row>
    <row r="4663" ht="15">
      <c r="D4663" s="1290"/>
    </row>
    <row r="4664" ht="15">
      <c r="D4664" s="1290"/>
    </row>
    <row r="4665" ht="15">
      <c r="D4665" s="1290"/>
    </row>
    <row r="4666" ht="15">
      <c r="D4666" s="1290"/>
    </row>
    <row r="4667" ht="15">
      <c r="D4667" s="1290"/>
    </row>
    <row r="4668" ht="15">
      <c r="D4668" s="1290"/>
    </row>
    <row r="4669" ht="15">
      <c r="D4669" s="1290"/>
    </row>
    <row r="4670" ht="15">
      <c r="D4670" s="1290"/>
    </row>
    <row r="4671" ht="15">
      <c r="D4671" s="1290"/>
    </row>
    <row r="4672" ht="15">
      <c r="D4672" s="1290"/>
    </row>
    <row r="4673" ht="15">
      <c r="D4673" s="1290"/>
    </row>
    <row r="4674" ht="15">
      <c r="D4674" s="1290"/>
    </row>
    <row r="4675" ht="15">
      <c r="D4675" s="1290"/>
    </row>
    <row r="4676" ht="15">
      <c r="D4676" s="1290"/>
    </row>
    <row r="4677" ht="15">
      <c r="D4677" s="1290"/>
    </row>
    <row r="4678" ht="15">
      <c r="D4678" s="1290"/>
    </row>
    <row r="4679" ht="15">
      <c r="D4679" s="1290"/>
    </row>
    <row r="4680" ht="15">
      <c r="D4680" s="1290"/>
    </row>
    <row r="4681" ht="15">
      <c r="D4681" s="1290"/>
    </row>
    <row r="4682" ht="15">
      <c r="D4682" s="1290"/>
    </row>
    <row r="4683" ht="15">
      <c r="D4683" s="1290"/>
    </row>
    <row r="4684" ht="15">
      <c r="D4684" s="1290"/>
    </row>
    <row r="4685" ht="15">
      <c r="D4685" s="1290"/>
    </row>
    <row r="4686" ht="15">
      <c r="D4686" s="1290"/>
    </row>
    <row r="4687" ht="15">
      <c r="D4687" s="1290"/>
    </row>
    <row r="4688" ht="15">
      <c r="D4688" s="1290"/>
    </row>
    <row r="4689" ht="15">
      <c r="D4689" s="1290"/>
    </row>
    <row r="4690" ht="15">
      <c r="D4690" s="1290"/>
    </row>
    <row r="4691" ht="15">
      <c r="D4691" s="1290"/>
    </row>
    <row r="4692" ht="15">
      <c r="D4692" s="1290"/>
    </row>
    <row r="4693" ht="15">
      <c r="D4693" s="1290"/>
    </row>
    <row r="4694" ht="15">
      <c r="D4694" s="1290"/>
    </row>
    <row r="4695" ht="15">
      <c r="D4695" s="1290"/>
    </row>
    <row r="4696" ht="15">
      <c r="D4696" s="1290"/>
    </row>
    <row r="4697" ht="15">
      <c r="D4697" s="1290"/>
    </row>
    <row r="4698" ht="15">
      <c r="D4698" s="1290"/>
    </row>
    <row r="4699" ht="15">
      <c r="D4699" s="1290"/>
    </row>
    <row r="4700" ht="15">
      <c r="D4700" s="1290"/>
    </row>
    <row r="4701" ht="15">
      <c r="D4701" s="1290"/>
    </row>
    <row r="4702" ht="15">
      <c r="D4702" s="1290"/>
    </row>
    <row r="4703" ht="15">
      <c r="D4703" s="1290"/>
    </row>
    <row r="4704" ht="15">
      <c r="D4704" s="1290"/>
    </row>
    <row r="4705" ht="15">
      <c r="D4705" s="1290"/>
    </row>
    <row r="4706" ht="15">
      <c r="D4706" s="1290"/>
    </row>
    <row r="4707" ht="15">
      <c r="D4707" s="1290"/>
    </row>
    <row r="4708" ht="15">
      <c r="D4708" s="1290"/>
    </row>
    <row r="4709" ht="15">
      <c r="D4709" s="1290"/>
    </row>
    <row r="4710" ht="15">
      <c r="D4710" s="1290"/>
    </row>
    <row r="4711" ht="15">
      <c r="D4711" s="1290"/>
    </row>
    <row r="4712" ht="15">
      <c r="D4712" s="1290"/>
    </row>
    <row r="4713" ht="15">
      <c r="D4713" s="1290"/>
    </row>
    <row r="4714" ht="15">
      <c r="D4714" s="1290"/>
    </row>
    <row r="4715" ht="15">
      <c r="D4715" s="1290"/>
    </row>
    <row r="4716" ht="15">
      <c r="D4716" s="1290"/>
    </row>
    <row r="4717" ht="15">
      <c r="D4717" s="1290"/>
    </row>
    <row r="4718" ht="15">
      <c r="D4718" s="1290"/>
    </row>
    <row r="4719" ht="15">
      <c r="D4719" s="1290"/>
    </row>
    <row r="4720" ht="15">
      <c r="D4720" s="1290"/>
    </row>
    <row r="4721" ht="15">
      <c r="D4721" s="1290"/>
    </row>
    <row r="4722" ht="15">
      <c r="D4722" s="1290"/>
    </row>
    <row r="4723" ht="15">
      <c r="D4723" s="1290"/>
    </row>
    <row r="4724" ht="15">
      <c r="D4724" s="1290"/>
    </row>
    <row r="4725" ht="15">
      <c r="D4725" s="1290"/>
    </row>
    <row r="4726" ht="15">
      <c r="D4726" s="1290"/>
    </row>
    <row r="4727" ht="15">
      <c r="D4727" s="1290"/>
    </row>
    <row r="4728" ht="15">
      <c r="D4728" s="1290"/>
    </row>
    <row r="4729" ht="15">
      <c r="D4729" s="1290"/>
    </row>
    <row r="4730" ht="15">
      <c r="D4730" s="1290"/>
    </row>
    <row r="4731" ht="15">
      <c r="D4731" s="1290"/>
    </row>
    <row r="4732" ht="15">
      <c r="D4732" s="1290"/>
    </row>
    <row r="4733" ht="15">
      <c r="D4733" s="1290"/>
    </row>
    <row r="4734" ht="15">
      <c r="D4734" s="1290"/>
    </row>
    <row r="4735" ht="15">
      <c r="D4735" s="1290"/>
    </row>
    <row r="4736" ht="15">
      <c r="D4736" s="1290"/>
    </row>
    <row r="4737" ht="15">
      <c r="D4737" s="1290"/>
    </row>
    <row r="4738" ht="15">
      <c r="D4738" s="1290"/>
    </row>
    <row r="4739" ht="15">
      <c r="D4739" s="1290"/>
    </row>
    <row r="4740" ht="15">
      <c r="D4740" s="1290"/>
    </row>
    <row r="4741" ht="15">
      <c r="D4741" s="1290"/>
    </row>
    <row r="4742" ht="15">
      <c r="D4742" s="1290"/>
    </row>
    <row r="4743" ht="15">
      <c r="D4743" s="1290"/>
    </row>
    <row r="4744" ht="15">
      <c r="D4744" s="1290"/>
    </row>
    <row r="4745" ht="15">
      <c r="D4745" s="1290"/>
    </row>
    <row r="4746" ht="15">
      <c r="D4746" s="1290"/>
    </row>
    <row r="4747" ht="15">
      <c r="D4747" s="1290"/>
    </row>
    <row r="4748" ht="15">
      <c r="D4748" s="1290"/>
    </row>
    <row r="4749" ht="15">
      <c r="D4749" s="1290"/>
    </row>
    <row r="4750" ht="15">
      <c r="D4750" s="1290"/>
    </row>
    <row r="4751" ht="15">
      <c r="D4751" s="1290"/>
    </row>
    <row r="4752" ht="15">
      <c r="D4752" s="1290"/>
    </row>
    <row r="4753" ht="15">
      <c r="D4753" s="1290"/>
    </row>
    <row r="4754" ht="15">
      <c r="D4754" s="1290"/>
    </row>
    <row r="4755" ht="15">
      <c r="D4755" s="1290"/>
    </row>
    <row r="4756" ht="15">
      <c r="D4756" s="1290"/>
    </row>
    <row r="4757" ht="15">
      <c r="D4757" s="1290"/>
    </row>
    <row r="4758" ht="15">
      <c r="D4758" s="1290"/>
    </row>
    <row r="4759" ht="15">
      <c r="D4759" s="1290"/>
    </row>
    <row r="4760" ht="15">
      <c r="D4760" s="1290"/>
    </row>
    <row r="4761" ht="15">
      <c r="D4761" s="1290"/>
    </row>
    <row r="4762" ht="15">
      <c r="D4762" s="1290"/>
    </row>
    <row r="4763" ht="15">
      <c r="D4763" s="1290"/>
    </row>
    <row r="4764" ht="15">
      <c r="D4764" s="1290"/>
    </row>
    <row r="4765" ht="15">
      <c r="D4765" s="1290"/>
    </row>
    <row r="4766" ht="15">
      <c r="D4766" s="1290"/>
    </row>
    <row r="4767" ht="15">
      <c r="D4767" s="1290"/>
    </row>
    <row r="4768" ht="15">
      <c r="D4768" s="1290"/>
    </row>
    <row r="4769" ht="15">
      <c r="D4769" s="1290"/>
    </row>
    <row r="4770" ht="15">
      <c r="D4770" s="1290"/>
    </row>
    <row r="4771" ht="15">
      <c r="D4771" s="1290"/>
    </row>
    <row r="4772" ht="15">
      <c r="D4772" s="1290"/>
    </row>
    <row r="4773" ht="15">
      <c r="D4773" s="1290"/>
    </row>
    <row r="4774" ht="15">
      <c r="D4774" s="1290"/>
    </row>
    <row r="4775" ht="15">
      <c r="D4775" s="1290"/>
    </row>
    <row r="4776" ht="15">
      <c r="D4776" s="1290"/>
    </row>
    <row r="4777" ht="15">
      <c r="D4777" s="1290"/>
    </row>
    <row r="4778" ht="15">
      <c r="D4778" s="1290"/>
    </row>
    <row r="4779" ht="15">
      <c r="D4779" s="1290"/>
    </row>
    <row r="4780" ht="15">
      <c r="D4780" s="1290"/>
    </row>
    <row r="4781" ht="15">
      <c r="D4781" s="1290"/>
    </row>
    <row r="4782" ht="15">
      <c r="D4782" s="1290"/>
    </row>
    <row r="4783" ht="15">
      <c r="D4783" s="1290"/>
    </row>
    <row r="4784" ht="15">
      <c r="D4784" s="1290"/>
    </row>
    <row r="4785" ht="15">
      <c r="D4785" s="1290"/>
    </row>
    <row r="4786" ht="15">
      <c r="D4786" s="1290"/>
    </row>
    <row r="4787" ht="15">
      <c r="D4787" s="1290"/>
    </row>
    <row r="4788" ht="15">
      <c r="D4788" s="1290"/>
    </row>
    <row r="4789" ht="15">
      <c r="D4789" s="1290"/>
    </row>
    <row r="4790" ht="15">
      <c r="D4790" s="1290"/>
    </row>
    <row r="4791" ht="15">
      <c r="D4791" s="1290"/>
    </row>
    <row r="4792" ht="15">
      <c r="D4792" s="1290"/>
    </row>
    <row r="4793" ht="15">
      <c r="D4793" s="1290"/>
    </row>
    <row r="4794" ht="15">
      <c r="D4794" s="1290"/>
    </row>
    <row r="4795" ht="15">
      <c r="D4795" s="1290"/>
    </row>
    <row r="4796" ht="15">
      <c r="D4796" s="1290"/>
    </row>
    <row r="4797" ht="15">
      <c r="D4797" s="1290"/>
    </row>
    <row r="4798" ht="15">
      <c r="D4798" s="1290"/>
    </row>
    <row r="4799" ht="15">
      <c r="D4799" s="1290"/>
    </row>
    <row r="4800" ht="15">
      <c r="D4800" s="1290"/>
    </row>
    <row r="4801" ht="15">
      <c r="D4801" s="1290"/>
    </row>
    <row r="4802" ht="15">
      <c r="D4802" s="1290"/>
    </row>
    <row r="4803" ht="15">
      <c r="D4803" s="1290"/>
    </row>
    <row r="4804" ht="15">
      <c r="D4804" s="1290"/>
    </row>
    <row r="4805" ht="15">
      <c r="D4805" s="1290"/>
    </row>
    <row r="4806" ht="15">
      <c r="D4806" s="1290"/>
    </row>
    <row r="4807" ht="15">
      <c r="D4807" s="1290"/>
    </row>
    <row r="4808" ht="15">
      <c r="D4808" s="1290"/>
    </row>
    <row r="4809" ht="15">
      <c r="D4809" s="1290"/>
    </row>
    <row r="4810" ht="15">
      <c r="D4810" s="1290"/>
    </row>
    <row r="4811" ht="15">
      <c r="D4811" s="1290"/>
    </row>
    <row r="4812" ht="15">
      <c r="D4812" s="1290"/>
    </row>
    <row r="4813" ht="15">
      <c r="D4813" s="1290"/>
    </row>
    <row r="4814" ht="15">
      <c r="D4814" s="1290"/>
    </row>
    <row r="4815" ht="15">
      <c r="D4815" s="1290"/>
    </row>
    <row r="4816" ht="15">
      <c r="D4816" s="1290"/>
    </row>
    <row r="4817" ht="15">
      <c r="D4817" s="1290"/>
    </row>
    <row r="4818" ht="15">
      <c r="D4818" s="1290"/>
    </row>
    <row r="4819" ht="15">
      <c r="D4819" s="1290"/>
    </row>
    <row r="4820" ht="15">
      <c r="D4820" s="1290"/>
    </row>
    <row r="4821" ht="15">
      <c r="D4821" s="1290"/>
    </row>
    <row r="4822" ht="15">
      <c r="D4822" s="1290"/>
    </row>
    <row r="4823" ht="15">
      <c r="D4823" s="1290"/>
    </row>
    <row r="4824" ht="15">
      <c r="D4824" s="1290"/>
    </row>
    <row r="4825" ht="15">
      <c r="D4825" s="1290"/>
    </row>
    <row r="4826" ht="15">
      <c r="D4826" s="1290"/>
    </row>
    <row r="4827" ht="15">
      <c r="D4827" s="1290"/>
    </row>
    <row r="4828" ht="15">
      <c r="D4828" s="1290"/>
    </row>
    <row r="4829" ht="15">
      <c r="D4829" s="1290"/>
    </row>
    <row r="4830" ht="15">
      <c r="D4830" s="1290"/>
    </row>
    <row r="4831" ht="15">
      <c r="D4831" s="1290"/>
    </row>
    <row r="4832" ht="15">
      <c r="D4832" s="1290"/>
    </row>
    <row r="4833" ht="15">
      <c r="D4833" s="1290"/>
    </row>
    <row r="4834" ht="15">
      <c r="D4834" s="1290"/>
    </row>
    <row r="4835" ht="15">
      <c r="D4835" s="1290"/>
    </row>
    <row r="4836" ht="15">
      <c r="D4836" s="1290"/>
    </row>
    <row r="4837" ht="15">
      <c r="D4837" s="1290"/>
    </row>
    <row r="4838" ht="15">
      <c r="D4838" s="1290"/>
    </row>
    <row r="4839" ht="15">
      <c r="D4839" s="1290"/>
    </row>
    <row r="4840" ht="15">
      <c r="D4840" s="1290"/>
    </row>
    <row r="4841" ht="15">
      <c r="D4841" s="1290"/>
    </row>
    <row r="4842" ht="15">
      <c r="D4842" s="1290"/>
    </row>
    <row r="4843" ht="15">
      <c r="D4843" s="1290"/>
    </row>
    <row r="4844" ht="15">
      <c r="D4844" s="1290"/>
    </row>
    <row r="4845" ht="15">
      <c r="D4845" s="1290"/>
    </row>
    <row r="4846" ht="15">
      <c r="D4846" s="1290"/>
    </row>
    <row r="4847" ht="15">
      <c r="D4847" s="1290"/>
    </row>
    <row r="4848" ht="15">
      <c r="D4848" s="1290"/>
    </row>
    <row r="4849" ht="15">
      <c r="D4849" s="1290"/>
    </row>
    <row r="4850" ht="15">
      <c r="D4850" s="1290"/>
    </row>
    <row r="4851" ht="15">
      <c r="D4851" s="1290"/>
    </row>
    <row r="4852" ht="15">
      <c r="D4852" s="1290"/>
    </row>
    <row r="4853" ht="15">
      <c r="D4853" s="1290"/>
    </row>
    <row r="4854" ht="15">
      <c r="D4854" s="1290"/>
    </row>
    <row r="4855" ht="15">
      <c r="D4855" s="1290"/>
    </row>
    <row r="4856" ht="15">
      <c r="D4856" s="1290"/>
    </row>
    <row r="4857" ht="15">
      <c r="D4857" s="1290"/>
    </row>
    <row r="4858" ht="15">
      <c r="D4858" s="1290"/>
    </row>
    <row r="4859" ht="15">
      <c r="D4859" s="1290"/>
    </row>
    <row r="4860" ht="15">
      <c r="D4860" s="1290"/>
    </row>
    <row r="4861" ht="15">
      <c r="D4861" s="1290"/>
    </row>
    <row r="4862" ht="15">
      <c r="D4862" s="1290"/>
    </row>
    <row r="4863" ht="15">
      <c r="D4863" s="1290"/>
    </row>
    <row r="4864" ht="15">
      <c r="D4864" s="1290"/>
    </row>
    <row r="4865" ht="15">
      <c r="D4865" s="1290"/>
    </row>
    <row r="4866" ht="15">
      <c r="D4866" s="1290"/>
    </row>
    <row r="4867" ht="15">
      <c r="D4867" s="1290"/>
    </row>
    <row r="4868" ht="15">
      <c r="D4868" s="1290"/>
    </row>
    <row r="4869" ht="15">
      <c r="D4869" s="1290"/>
    </row>
    <row r="4870" ht="15">
      <c r="D4870" s="1290"/>
    </row>
    <row r="4871" ht="15">
      <c r="D4871" s="1290"/>
    </row>
    <row r="4872" ht="15">
      <c r="D4872" s="1290"/>
    </row>
    <row r="4873" ht="15">
      <c r="D4873" s="1290"/>
    </row>
    <row r="4874" ht="15">
      <c r="D4874" s="1290"/>
    </row>
    <row r="4875" ht="15">
      <c r="D4875" s="1290"/>
    </row>
    <row r="4876" ht="15">
      <c r="D4876" s="1290"/>
    </row>
    <row r="4877" ht="15">
      <c r="D4877" s="1290"/>
    </row>
    <row r="4878" ht="15">
      <c r="D4878" s="1290"/>
    </row>
    <row r="4879" ht="15">
      <c r="D4879" s="1290"/>
    </row>
    <row r="4880" ht="15">
      <c r="D4880" s="1290"/>
    </row>
    <row r="4881" ht="15">
      <c r="D4881" s="1290"/>
    </row>
    <row r="4882" ht="15">
      <c r="D4882" s="1290"/>
    </row>
    <row r="4883" ht="15">
      <c r="D4883" s="1290"/>
    </row>
    <row r="4884" ht="15">
      <c r="D4884" s="1290"/>
    </row>
    <row r="4885" ht="15">
      <c r="D4885" s="1290"/>
    </row>
    <row r="4886" ht="15">
      <c r="D4886" s="1290"/>
    </row>
    <row r="4887" ht="15">
      <c r="D4887" s="1290"/>
    </row>
    <row r="4888" ht="15">
      <c r="D4888" s="1290"/>
    </row>
    <row r="4889" ht="15">
      <c r="D4889" s="1290"/>
    </row>
    <row r="4890" ht="15">
      <c r="D4890" s="1290"/>
    </row>
    <row r="4891" ht="15">
      <c r="D4891" s="1290"/>
    </row>
    <row r="4892" ht="15">
      <c r="D4892" s="1290"/>
    </row>
    <row r="4893" ht="15">
      <c r="D4893" s="1290"/>
    </row>
    <row r="4894" ht="15">
      <c r="D4894" s="1290"/>
    </row>
    <row r="4895" ht="15">
      <c r="D4895" s="1290"/>
    </row>
    <row r="4896" ht="15">
      <c r="D4896" s="1290"/>
    </row>
    <row r="4897" ht="15">
      <c r="D4897" s="1290"/>
    </row>
    <row r="4898" ht="15">
      <c r="D4898" s="1290"/>
    </row>
    <row r="4899" ht="15">
      <c r="D4899" s="1290"/>
    </row>
    <row r="4900" ht="15">
      <c r="D4900" s="1290"/>
    </row>
    <row r="4901" ht="15">
      <c r="D4901" s="1290"/>
    </row>
    <row r="4902" ht="15">
      <c r="D4902" s="1290"/>
    </row>
    <row r="4903" ht="15">
      <c r="D4903" s="1290"/>
    </row>
    <row r="4904" ht="15">
      <c r="D4904" s="1290"/>
    </row>
    <row r="4905" ht="15">
      <c r="D4905" s="1290"/>
    </row>
    <row r="4906" ht="15">
      <c r="D4906" s="1290"/>
    </row>
    <row r="4907" ht="15">
      <c r="D4907" s="1290"/>
    </row>
    <row r="4908" ht="15">
      <c r="D4908" s="1290"/>
    </row>
    <row r="4909" ht="15">
      <c r="D4909" s="1290"/>
    </row>
    <row r="4910" ht="15">
      <c r="D4910" s="1290"/>
    </row>
    <row r="4911" ht="15">
      <c r="D4911" s="1290"/>
    </row>
    <row r="4912" ht="15">
      <c r="D4912" s="1290"/>
    </row>
    <row r="4913" ht="15">
      <c r="D4913" s="1290"/>
    </row>
    <row r="4914" ht="15">
      <c r="D4914" s="1290"/>
    </row>
    <row r="4915" ht="15">
      <c r="D4915" s="1290"/>
    </row>
    <row r="4916" ht="15">
      <c r="D4916" s="1290"/>
    </row>
    <row r="4917" ht="15">
      <c r="D4917" s="1290"/>
    </row>
    <row r="4918" ht="15">
      <c r="D4918" s="1290"/>
    </row>
    <row r="4919" ht="15">
      <c r="D4919" s="1290"/>
    </row>
    <row r="4920" ht="15">
      <c r="D4920" s="1290"/>
    </row>
    <row r="4921" ht="15">
      <c r="D4921" s="1290"/>
    </row>
    <row r="4922" ht="15">
      <c r="D4922" s="1290"/>
    </row>
    <row r="4923" ht="15">
      <c r="D4923" s="1290"/>
    </row>
    <row r="4924" ht="15">
      <c r="D4924" s="1290"/>
    </row>
    <row r="4925" ht="15">
      <c r="D4925" s="1290"/>
    </row>
    <row r="4926" ht="15">
      <c r="D4926" s="1290"/>
    </row>
    <row r="4927" ht="15">
      <c r="D4927" s="1290"/>
    </row>
    <row r="4928" ht="15">
      <c r="D4928" s="1290"/>
    </row>
    <row r="4929" ht="15">
      <c r="D4929" s="1290"/>
    </row>
    <row r="4930" ht="15">
      <c r="D4930" s="1290"/>
    </row>
    <row r="4931" ht="15">
      <c r="D4931" s="1290"/>
    </row>
    <row r="4932" ht="15">
      <c r="D4932" s="1290"/>
    </row>
    <row r="4933" ht="15">
      <c r="D4933" s="1290"/>
    </row>
    <row r="4934" ht="15">
      <c r="D4934" s="1290"/>
    </row>
    <row r="4935" ht="15">
      <c r="D4935" s="1290"/>
    </row>
    <row r="4936" ht="15">
      <c r="D4936" s="1290"/>
    </row>
    <row r="4937" ht="15">
      <c r="D4937" s="1290"/>
    </row>
    <row r="4938" ht="15">
      <c r="D4938" s="1290"/>
    </row>
    <row r="4939" ht="15">
      <c r="D4939" s="1290"/>
    </row>
    <row r="4940" ht="15">
      <c r="D4940" s="1290"/>
    </row>
    <row r="4941" ht="15">
      <c r="D4941" s="1290"/>
    </row>
    <row r="4942" ht="15">
      <c r="D4942" s="1290"/>
    </row>
    <row r="4943" ht="15">
      <c r="D4943" s="1290"/>
    </row>
    <row r="4944" ht="15">
      <c r="D4944" s="1290"/>
    </row>
    <row r="4945" ht="15">
      <c r="D4945" s="1290"/>
    </row>
    <row r="4946" ht="15">
      <c r="D4946" s="1290"/>
    </row>
    <row r="4947" ht="15">
      <c r="D4947" s="1290"/>
    </row>
    <row r="4948" ht="15">
      <c r="D4948" s="1290"/>
    </row>
    <row r="4949" ht="15">
      <c r="D4949" s="1290"/>
    </row>
    <row r="4950" ht="15">
      <c r="D4950" s="1290"/>
    </row>
    <row r="4951" ht="15">
      <c r="D4951" s="1290"/>
    </row>
    <row r="4952" ht="15">
      <c r="D4952" s="1290"/>
    </row>
    <row r="4953" ht="15">
      <c r="D4953" s="1290"/>
    </row>
    <row r="4954" ht="15">
      <c r="D4954" s="1290"/>
    </row>
    <row r="4955" ht="15">
      <c r="D4955" s="1290"/>
    </row>
    <row r="4956" ht="15">
      <c r="D4956" s="1290"/>
    </row>
    <row r="4957" ht="15">
      <c r="D4957" s="1290"/>
    </row>
    <row r="4958" ht="15">
      <c r="D4958" s="1290"/>
    </row>
    <row r="4959" ht="15">
      <c r="D4959" s="1290"/>
    </row>
    <row r="4960" ht="15">
      <c r="D4960" s="1290"/>
    </row>
    <row r="4961" ht="15">
      <c r="D4961" s="1290"/>
    </row>
    <row r="4962" ht="15">
      <c r="D4962" s="1290"/>
    </row>
    <row r="4963" ht="15">
      <c r="D4963" s="1290"/>
    </row>
    <row r="4964" ht="15">
      <c r="D4964" s="1290"/>
    </row>
    <row r="4965" ht="15">
      <c r="D4965" s="1290"/>
    </row>
    <row r="4966" ht="15">
      <c r="D4966" s="1290"/>
    </row>
    <row r="4967" ht="15">
      <c r="D4967" s="1290"/>
    </row>
    <row r="4968" ht="15">
      <c r="D4968" s="1290"/>
    </row>
    <row r="4969" ht="15">
      <c r="D4969" s="1290"/>
    </row>
    <row r="4970" ht="15">
      <c r="D4970" s="1290"/>
    </row>
    <row r="4971" ht="15">
      <c r="D4971" s="1290"/>
    </row>
    <row r="4972" ht="15">
      <c r="D4972" s="1290"/>
    </row>
    <row r="4973" ht="15">
      <c r="D4973" s="1290"/>
    </row>
    <row r="4974" ht="15">
      <c r="D4974" s="1290"/>
    </row>
    <row r="4975" ht="15">
      <c r="D4975" s="1290"/>
    </row>
    <row r="4976" ht="15">
      <c r="D4976" s="1290"/>
    </row>
    <row r="4977" ht="15">
      <c r="D4977" s="1290"/>
    </row>
    <row r="4978" ht="15">
      <c r="D4978" s="1290"/>
    </row>
    <row r="4979" ht="15">
      <c r="D4979" s="1290"/>
    </row>
    <row r="4980" ht="15">
      <c r="D4980" s="1290"/>
    </row>
    <row r="4981" ht="15">
      <c r="D4981" s="1290"/>
    </row>
    <row r="4982" ht="15">
      <c r="D4982" s="1290"/>
    </row>
    <row r="4983" ht="15">
      <c r="D4983" s="1290"/>
    </row>
    <row r="4984" ht="15">
      <c r="D4984" s="1290"/>
    </row>
    <row r="4985" ht="15">
      <c r="D4985" s="1290"/>
    </row>
    <row r="4986" ht="15">
      <c r="D4986" s="1290"/>
    </row>
    <row r="4987" ht="15">
      <c r="D4987" s="1290"/>
    </row>
    <row r="4988" ht="15">
      <c r="D4988" s="1290"/>
    </row>
    <row r="4989" ht="15">
      <c r="D4989" s="1290"/>
    </row>
    <row r="4990" ht="15">
      <c r="D4990" s="1290"/>
    </row>
    <row r="4991" ht="15">
      <c r="D4991" s="1290"/>
    </row>
    <row r="4992" ht="15">
      <c r="D4992" s="1290"/>
    </row>
    <row r="4993" ht="15">
      <c r="D4993" s="1290"/>
    </row>
    <row r="4994" ht="15">
      <c r="D4994" s="1290"/>
    </row>
    <row r="4995" ht="15">
      <c r="D4995" s="1290"/>
    </row>
    <row r="4996" ht="15">
      <c r="D4996" s="1290"/>
    </row>
    <row r="4997" ht="15">
      <c r="D4997" s="1290"/>
    </row>
    <row r="4998" ht="15">
      <c r="D4998" s="1290"/>
    </row>
    <row r="4999" ht="15">
      <c r="D4999" s="1290"/>
    </row>
    <row r="5000" ht="15">
      <c r="D5000" s="1290"/>
    </row>
    <row r="5001" ht="15">
      <c r="D5001" s="1290"/>
    </row>
    <row r="5002" ht="15">
      <c r="D5002" s="1290"/>
    </row>
    <row r="5003" ht="15">
      <c r="D5003" s="1290"/>
    </row>
  </sheetData>
  <sheetProtection password="CF72" sheet="1" objects="1" scenarios="1" formatColumns="0"/>
  <mergeCells count="5">
    <mergeCell ref="H5:K5"/>
    <mergeCell ref="A6:A7"/>
    <mergeCell ref="B6:B7"/>
    <mergeCell ref="C6:G6"/>
    <mergeCell ref="H6:M6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0:B15 B18:B20 B23:B25">
      <formula1>900</formula1>
    </dataValidation>
    <dataValidation type="decimal" allowBlank="1" showErrorMessage="1" errorTitle="Ошибка" error="Допускается ввод только неотрицательных чисел!" sqref="F10:J15 L10:M15 C10:D15 F18:J20 L18:M20 L23:M25 C23:D25 C18:D20 F23:J25">
      <formula1>0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E27 C21:M22 C17:M17 E23:E25 K27 K10:K15 E10:E15 E18:E20 K23:K25 K18:K20 C9:M9">
      <formula1>0</formula1>
    </dataValidation>
    <dataValidation type="whole" operator="greaterThanOrEqual" allowBlank="1" showInputMessage="1" showErrorMessage="1" sqref="F27:J27 E26:G26 L27:M27 C26:D27">
      <formula1>0</formula1>
    </dataValidation>
  </dataValidations>
  <printOptions/>
  <pageMargins left="0.1968503937007874" right="0.15748031496062992" top="0.2362204724409449" bottom="0.2362204724409449" header="0.15748031496062992" footer="0.1574803149606299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2"/>
  <dimension ref="A2:K35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5.140625" style="513" customWidth="1"/>
    <col min="2" max="2" width="17.57421875" style="513" customWidth="1"/>
    <col min="3" max="3" width="12.421875" style="513" customWidth="1"/>
    <col min="4" max="4" width="14.57421875" style="513" customWidth="1"/>
    <col min="5" max="7" width="17.57421875" style="513" customWidth="1"/>
    <col min="8" max="8" width="13.421875" style="513" customWidth="1"/>
    <col min="9" max="9" width="14.421875" style="513" customWidth="1"/>
    <col min="10" max="10" width="14.140625" style="513" customWidth="1"/>
    <col min="11" max="16384" width="9.140625" style="513" customWidth="1"/>
  </cols>
  <sheetData>
    <row r="2" spans="1:11" ht="15">
      <c r="A2" s="547" t="s">
        <v>1302</v>
      </c>
      <c r="B2" s="547"/>
      <c r="C2" s="547"/>
      <c r="D2" s="547"/>
      <c r="E2" s="547"/>
      <c r="F2" s="607"/>
      <c r="G2" s="607"/>
      <c r="H2" s="607"/>
      <c r="I2" s="568"/>
      <c r="J2" s="568"/>
      <c r="K2" s="566"/>
    </row>
    <row r="3" spans="1:11" ht="15">
      <c r="A3" s="549" t="str">
        <f>Титульный!$B$10</f>
        <v>ООО "Дирекция Голицыно-3"</v>
      </c>
      <c r="B3" s="311"/>
      <c r="C3" s="311"/>
      <c r="D3" s="311"/>
      <c r="E3" s="311"/>
      <c r="F3" s="608"/>
      <c r="G3" s="608"/>
      <c r="H3" s="608"/>
      <c r="I3" s="558"/>
      <c r="J3" s="558"/>
      <c r="K3" s="566"/>
    </row>
    <row r="4" spans="1:11" ht="15">
      <c r="A4" s="551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314"/>
      <c r="C4" s="314"/>
      <c r="D4" s="314"/>
      <c r="E4" s="314"/>
      <c r="F4" s="609"/>
      <c r="G4" s="609"/>
      <c r="H4" s="609"/>
      <c r="I4" s="558"/>
      <c r="J4" s="558"/>
      <c r="K4" s="566"/>
    </row>
    <row r="5" spans="1:11" ht="15">
      <c r="A5" s="558"/>
      <c r="B5" s="558"/>
      <c r="C5" s="558"/>
      <c r="D5" s="558"/>
      <c r="E5" s="558"/>
      <c r="F5" s="558"/>
      <c r="G5" s="558"/>
      <c r="H5" s="558"/>
      <c r="I5" s="566"/>
      <c r="J5" s="566"/>
      <c r="K5" s="566"/>
    </row>
    <row r="6" spans="1:11" ht="15">
      <c r="A6" s="556" t="s">
        <v>422</v>
      </c>
      <c r="B6" s="566"/>
      <c r="C6" s="566"/>
      <c r="D6" s="566"/>
      <c r="E6" s="566"/>
      <c r="F6" s="566"/>
      <c r="G6" s="566"/>
      <c r="H6" s="566"/>
      <c r="I6" s="566"/>
      <c r="J6" s="566"/>
      <c r="K6" s="566"/>
    </row>
    <row r="7" spans="1:11" ht="15">
      <c r="A7" s="558"/>
      <c r="B7" s="558"/>
      <c r="C7" s="558"/>
      <c r="D7" s="558"/>
      <c r="E7" s="558"/>
      <c r="F7" s="558"/>
      <c r="G7" s="558"/>
      <c r="H7" s="566"/>
      <c r="I7" s="566"/>
      <c r="J7" s="566"/>
      <c r="K7" s="566"/>
    </row>
    <row r="8" spans="1:11" ht="25.5" customHeight="1">
      <c r="A8" s="1566" t="s">
        <v>3</v>
      </c>
      <c r="B8" s="1566" t="s">
        <v>1303</v>
      </c>
      <c r="C8" s="1566" t="s">
        <v>1304</v>
      </c>
      <c r="D8" s="1566" t="s">
        <v>1305</v>
      </c>
      <c r="E8" s="58" t="s">
        <v>426</v>
      </c>
      <c r="F8" s="552" t="s">
        <v>345</v>
      </c>
      <c r="G8" s="58" t="s">
        <v>427</v>
      </c>
      <c r="H8" s="610"/>
      <c r="I8" s="566"/>
      <c r="J8" s="566"/>
      <c r="K8" s="566"/>
    </row>
    <row r="9" spans="1:11" ht="22.5" customHeight="1">
      <c r="A9" s="1566"/>
      <c r="B9" s="1566"/>
      <c r="C9" s="1566"/>
      <c r="D9" s="1566"/>
      <c r="E9" s="611" t="s">
        <v>46</v>
      </c>
      <c r="F9" s="559" t="s">
        <v>349</v>
      </c>
      <c r="G9" s="611" t="s">
        <v>46</v>
      </c>
      <c r="H9" s="558"/>
      <c r="I9" s="566"/>
      <c r="J9" s="566"/>
      <c r="K9" s="566"/>
    </row>
    <row r="10" spans="1:11" ht="1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612"/>
      <c r="I10" s="612"/>
      <c r="J10" s="612"/>
      <c r="K10" s="612"/>
    </row>
    <row r="11" spans="1:11" ht="15" hidden="1">
      <c r="A11" s="21">
        <v>0</v>
      </c>
      <c r="B11" s="9"/>
      <c r="C11" s="9"/>
      <c r="D11" s="9"/>
      <c r="E11" s="9"/>
      <c r="F11" s="9"/>
      <c r="G11" s="9"/>
      <c r="H11" s="612"/>
      <c r="I11" s="612"/>
      <c r="J11" s="612"/>
      <c r="K11" s="612"/>
    </row>
    <row r="12" spans="1:11" ht="15">
      <c r="A12" s="849">
        <f>ROW(A1)</f>
        <v>1</v>
      </c>
      <c r="B12" s="230" t="s">
        <v>1346</v>
      </c>
      <c r="C12" s="227" t="s">
        <v>1349</v>
      </c>
      <c r="D12" s="227" t="s">
        <v>1345</v>
      </c>
      <c r="E12" s="225">
        <f>82206.5/1.18/1000</f>
        <v>69.66652542372881</v>
      </c>
      <c r="F12" s="887" t="s">
        <v>702</v>
      </c>
      <c r="G12" s="228">
        <f>IF(F12="да",E12*1.18,E12)</f>
        <v>82.20649999999999</v>
      </c>
      <c r="H12" s="558"/>
      <c r="I12" s="566"/>
      <c r="J12" s="566"/>
      <c r="K12" s="566"/>
    </row>
    <row r="13" spans="1:11" ht="15">
      <c r="A13" s="849">
        <f>ROW(A2)</f>
        <v>2</v>
      </c>
      <c r="B13" s="834" t="s">
        <v>1347</v>
      </c>
      <c r="C13" s="227" t="s">
        <v>1348</v>
      </c>
      <c r="D13" s="227" t="s">
        <v>197</v>
      </c>
      <c r="E13" s="225">
        <f>3307/1.18/1000</f>
        <v>2.8025423728813563</v>
      </c>
      <c r="F13" s="887" t="s">
        <v>702</v>
      </c>
      <c r="G13" s="228">
        <f>IF(F13="да",E13*1.18,E13)</f>
        <v>3.3070000000000004</v>
      </c>
      <c r="H13" s="558"/>
      <c r="I13" s="566"/>
      <c r="J13" s="566"/>
      <c r="K13" s="566"/>
    </row>
    <row r="14" spans="1:11" ht="15">
      <c r="A14" s="849">
        <f>ROW(A3)</f>
        <v>3</v>
      </c>
      <c r="B14" s="834" t="s">
        <v>1350</v>
      </c>
      <c r="C14" s="227" t="s">
        <v>1355</v>
      </c>
      <c r="D14" s="227" t="s">
        <v>1354</v>
      </c>
      <c r="E14" s="225">
        <f>C14*D14/1.18/1000</f>
        <v>12.144610169491525</v>
      </c>
      <c r="F14" s="887" t="s">
        <v>702</v>
      </c>
      <c r="G14" s="228">
        <f>IF(F14="да",E14*1.18,E14)</f>
        <v>14.330639999999999</v>
      </c>
      <c r="H14" s="558"/>
      <c r="I14" s="566"/>
      <c r="J14" s="566"/>
      <c r="K14" s="566"/>
    </row>
    <row r="15" spans="1:11" ht="15">
      <c r="A15" s="849">
        <f>ROW(A4)</f>
        <v>4</v>
      </c>
      <c r="B15" s="1294" t="s">
        <v>1353</v>
      </c>
      <c r="C15" s="227" t="s">
        <v>1352</v>
      </c>
      <c r="D15" s="227" t="s">
        <v>1351</v>
      </c>
      <c r="E15" s="225">
        <f>34315/1.18/1000</f>
        <v>29.080508474576273</v>
      </c>
      <c r="F15" s="887" t="s">
        <v>702</v>
      </c>
      <c r="G15" s="228">
        <f>IF(F15="да",E15*1.18,E15)</f>
        <v>34.315</v>
      </c>
      <c r="H15" s="558"/>
      <c r="I15" s="566"/>
      <c r="J15" s="566"/>
      <c r="K15" s="566"/>
    </row>
    <row r="16" spans="1:11" ht="15">
      <c r="A16" s="849">
        <f>ROW(A5)</f>
        <v>5</v>
      </c>
      <c r="B16" s="1294" t="s">
        <v>1356</v>
      </c>
      <c r="C16" s="227"/>
      <c r="D16" s="227"/>
      <c r="E16" s="225">
        <f>(215341/1.18-113907.19-47700)/1000</f>
        <v>20.885182881355927</v>
      </c>
      <c r="F16" s="887" t="s">
        <v>702</v>
      </c>
      <c r="G16" s="228">
        <f>IF(F16="да",E16*1.18,E16)</f>
        <v>24.644515799999994</v>
      </c>
      <c r="H16" s="558"/>
      <c r="I16" s="566"/>
      <c r="J16" s="566"/>
      <c r="K16" s="566"/>
    </row>
    <row r="17" spans="1:11" ht="15">
      <c r="A17" s="15"/>
      <c r="B17" s="16" t="s">
        <v>802</v>
      </c>
      <c r="C17" s="32"/>
      <c r="D17" s="32"/>
      <c r="E17" s="32"/>
      <c r="F17" s="32"/>
      <c r="G17" s="47"/>
      <c r="H17" s="558"/>
      <c r="I17" s="566"/>
      <c r="J17" s="566"/>
      <c r="K17" s="558"/>
    </row>
    <row r="18" spans="1:11" ht="22.5" customHeight="1">
      <c r="A18" s="18"/>
      <c r="B18" s="14" t="s">
        <v>339</v>
      </c>
      <c r="C18" s="10"/>
      <c r="D18" s="10"/>
      <c r="E18" s="228">
        <f>SUM(E11:E17)</f>
        <v>134.5793693220339</v>
      </c>
      <c r="F18" s="10"/>
      <c r="G18" s="228">
        <f>SUM(G11:G17)</f>
        <v>158.80365579999997</v>
      </c>
      <c r="H18" s="558"/>
      <c r="I18" s="566"/>
      <c r="J18" s="566"/>
      <c r="K18" s="558"/>
    </row>
    <row r="19" spans="1:11" ht="15">
      <c r="A19" s="558"/>
      <c r="B19" s="558"/>
      <c r="C19" s="558"/>
      <c r="D19" s="558"/>
      <c r="E19" s="558"/>
      <c r="F19" s="558"/>
      <c r="G19" s="558"/>
      <c r="H19" s="566"/>
      <c r="I19" s="566"/>
      <c r="J19" s="566"/>
      <c r="K19" s="566"/>
    </row>
    <row r="20" spans="1:11" ht="15">
      <c r="A20" s="556" t="s">
        <v>429</v>
      </c>
      <c r="B20" s="566"/>
      <c r="C20" s="566"/>
      <c r="D20" s="566"/>
      <c r="E20" s="566"/>
      <c r="F20" s="566"/>
      <c r="G20" s="566"/>
      <c r="H20" s="566"/>
      <c r="I20" s="566"/>
      <c r="J20" s="566"/>
      <c r="K20" s="566"/>
    </row>
    <row r="21" spans="1:11" ht="15">
      <c r="A21" s="558"/>
      <c r="B21" s="558"/>
      <c r="C21" s="558"/>
      <c r="D21" s="558"/>
      <c r="E21" s="558"/>
      <c r="F21" s="558"/>
      <c r="G21" s="558"/>
      <c r="H21" s="558"/>
      <c r="I21" s="558"/>
      <c r="J21" s="558"/>
      <c r="K21" s="558"/>
    </row>
    <row r="22" spans="1:11" ht="24.75" customHeight="1">
      <c r="A22" s="1566" t="s">
        <v>3</v>
      </c>
      <c r="B22" s="1566" t="s">
        <v>435</v>
      </c>
      <c r="C22" s="1566" t="s">
        <v>436</v>
      </c>
      <c r="D22" s="1566" t="s">
        <v>326</v>
      </c>
      <c r="E22" s="1566" t="s">
        <v>437</v>
      </c>
      <c r="F22" s="1566" t="s">
        <v>438</v>
      </c>
      <c r="G22" s="1566" t="s">
        <v>439</v>
      </c>
      <c r="H22" s="58" t="s">
        <v>426</v>
      </c>
      <c r="I22" s="552" t="s">
        <v>345</v>
      </c>
      <c r="J22" s="58" t="s">
        <v>427</v>
      </c>
      <c r="K22" s="613"/>
    </row>
    <row r="23" spans="1:11" ht="15">
      <c r="A23" s="1566"/>
      <c r="B23" s="1566"/>
      <c r="C23" s="1566"/>
      <c r="D23" s="1566"/>
      <c r="E23" s="1566"/>
      <c r="F23" s="1566"/>
      <c r="G23" s="1566"/>
      <c r="H23" s="611" t="s">
        <v>46</v>
      </c>
      <c r="I23" s="559" t="s">
        <v>349</v>
      </c>
      <c r="J23" s="611" t="s">
        <v>46</v>
      </c>
      <c r="K23" s="7"/>
    </row>
    <row r="24" spans="1:11" ht="15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9">
        <v>8</v>
      </c>
      <c r="I24" s="9">
        <v>9</v>
      </c>
      <c r="J24" s="9">
        <v>10</v>
      </c>
      <c r="K24" s="566"/>
    </row>
    <row r="25" spans="1:11" ht="15" hidden="1">
      <c r="A25" s="21">
        <v>0</v>
      </c>
      <c r="B25" s="9"/>
      <c r="C25" s="9"/>
      <c r="D25" s="9"/>
      <c r="E25" s="9"/>
      <c r="F25" s="9"/>
      <c r="G25" s="9"/>
      <c r="H25" s="9"/>
      <c r="I25" s="9"/>
      <c r="J25" s="9"/>
      <c r="K25" s="566"/>
    </row>
    <row r="26" spans="1:11" ht="15">
      <c r="A26" s="849">
        <f>ROW(A1)</f>
        <v>1</v>
      </c>
      <c r="B26" s="230"/>
      <c r="C26" s="227"/>
      <c r="D26" s="227"/>
      <c r="E26" s="227"/>
      <c r="F26" s="227"/>
      <c r="G26" s="227"/>
      <c r="H26" s="225"/>
      <c r="I26" s="887"/>
      <c r="J26" s="228">
        <f>IF(I26="да",H26*1.18,H26)</f>
        <v>0</v>
      </c>
      <c r="K26" s="566"/>
    </row>
    <row r="27" spans="1:11" ht="15">
      <c r="A27" s="849">
        <f>ROW(A2)</f>
        <v>2</v>
      </c>
      <c r="B27" s="834"/>
      <c r="C27" s="227"/>
      <c r="D27" s="227"/>
      <c r="E27" s="227"/>
      <c r="F27" s="227"/>
      <c r="G27" s="227"/>
      <c r="H27" s="225"/>
      <c r="I27" s="887"/>
      <c r="J27" s="228">
        <f>IF(I27="да",H27*1.18,H27)</f>
        <v>0</v>
      </c>
      <c r="K27" s="566"/>
    </row>
    <row r="28" spans="1:11" ht="15">
      <c r="A28" s="849">
        <f>ROW(A3)</f>
        <v>3</v>
      </c>
      <c r="B28" s="834"/>
      <c r="C28" s="227"/>
      <c r="D28" s="227"/>
      <c r="E28" s="227"/>
      <c r="F28" s="227"/>
      <c r="G28" s="227"/>
      <c r="H28" s="225"/>
      <c r="I28" s="887"/>
      <c r="J28" s="228">
        <f>IF(I28="да",H28*1.18,H28)</f>
        <v>0</v>
      </c>
      <c r="K28" s="566"/>
    </row>
    <row r="29" spans="1:10" ht="15">
      <c r="A29" s="15"/>
      <c r="B29" s="16" t="s">
        <v>802</v>
      </c>
      <c r="C29" s="32"/>
      <c r="D29" s="32"/>
      <c r="E29" s="32"/>
      <c r="F29" s="32"/>
      <c r="G29" s="32"/>
      <c r="H29" s="32"/>
      <c r="I29" s="32"/>
      <c r="J29" s="47"/>
    </row>
    <row r="30" spans="1:10" ht="15">
      <c r="A30" s="18"/>
      <c r="B30" s="14" t="s">
        <v>339</v>
      </c>
      <c r="C30" s="10"/>
      <c r="D30" s="10"/>
      <c r="E30" s="33"/>
      <c r="F30" s="33"/>
      <c r="G30" s="33"/>
      <c r="H30" s="228">
        <f>SUM(H25:H29)</f>
        <v>0</v>
      </c>
      <c r="I30" s="10"/>
      <c r="J30" s="228">
        <f>SUM(J25:J29)</f>
        <v>0</v>
      </c>
    </row>
    <row r="31" spans="1:10" ht="15">
      <c r="A31" s="3"/>
      <c r="B31" s="4"/>
      <c r="C31" s="4"/>
      <c r="D31" s="4"/>
      <c r="E31" s="5"/>
      <c r="F31" s="6"/>
      <c r="G31" s="6"/>
      <c r="H31" s="7"/>
      <c r="I31" s="7"/>
      <c r="J31" s="7"/>
    </row>
    <row r="32" spans="1:10" ht="15">
      <c r="A32" s="564" t="s">
        <v>350</v>
      </c>
      <c r="B32" s="614"/>
      <c r="C32" s="614"/>
      <c r="D32" s="614"/>
      <c r="E32" s="614"/>
      <c r="F32" s="566"/>
      <c r="G32" s="566"/>
      <c r="H32" s="566"/>
      <c r="I32" s="566"/>
      <c r="J32" s="566"/>
    </row>
    <row r="33" spans="1:10" ht="15">
      <c r="A33" s="565"/>
      <c r="B33" s="566"/>
      <c r="C33" s="566"/>
      <c r="D33" s="566"/>
      <c r="E33" s="566"/>
      <c r="F33" s="566"/>
      <c r="G33" s="566"/>
      <c r="H33" s="566"/>
      <c r="I33" s="566"/>
      <c r="J33" s="566"/>
    </row>
    <row r="34" spans="1:10" ht="15">
      <c r="A34" s="886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  <c r="B34" s="568"/>
      <c r="C34" s="566"/>
      <c r="D34" s="566"/>
      <c r="E34" s="567"/>
      <c r="F34" s="566"/>
      <c r="G34" s="615"/>
      <c r="H34" s="566"/>
      <c r="I34" s="566"/>
      <c r="J34" s="566"/>
    </row>
    <row r="35" ht="15">
      <c r="B35" s="1008" t="s">
        <v>219</v>
      </c>
    </row>
  </sheetData>
  <sheetProtection password="CF72" sheet="1" objects="1" scenarios="1" formatColumns="0"/>
  <mergeCells count="11">
    <mergeCell ref="F22:F23"/>
    <mergeCell ref="A8:A9"/>
    <mergeCell ref="B8:B9"/>
    <mergeCell ref="C8:C9"/>
    <mergeCell ref="D8:D9"/>
    <mergeCell ref="G22:G23"/>
    <mergeCell ref="A22:A23"/>
    <mergeCell ref="B22:B23"/>
    <mergeCell ref="C22:C23"/>
    <mergeCell ref="D22:D23"/>
    <mergeCell ref="E22:E23"/>
  </mergeCells>
  <dataValidations count="5">
    <dataValidation type="decimal" allowBlank="1" showErrorMessage="1" errorTitle="Ошибка" error="Допускается ввод только действительных чисел!" sqref="G12:G16 J26:J28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2:D16 B26:G28">
      <formula1>900</formula1>
    </dataValidation>
    <dataValidation type="decimal" allowBlank="1" showErrorMessage="1" errorTitle="Ошибка" error="Допускается ввод только неотрицательных чисел!" sqref="E12:E16 I12:J16 H26:H28">
      <formula1>0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H12:H16">
      <formula1>0</formula1>
    </dataValidation>
    <dataValidation type="list" allowBlank="1" showInputMessage="1" showErrorMessage="1" sqref="F12:F16 I26:I28">
      <formula1>"да, нет"</formula1>
    </dataValidation>
  </dataValidations>
  <printOptions/>
  <pageMargins left="0.2362204724409449" right="0.15748031496062992" top="0.1968503937007874" bottom="0.1968503937007874" header="0.15748031496062992" footer="0.15748031496062992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3"/>
  <dimension ref="A2:F4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57421875" style="513" customWidth="1"/>
    <col min="2" max="2" width="20.57421875" style="513" customWidth="1"/>
    <col min="3" max="3" width="13.00390625" style="513" customWidth="1"/>
    <col min="4" max="4" width="16.421875" style="513" customWidth="1"/>
    <col min="5" max="5" width="19.8515625" style="513" customWidth="1"/>
    <col min="6" max="6" width="18.421875" style="513" customWidth="1"/>
    <col min="7" max="16384" width="9.140625" style="513" customWidth="1"/>
  </cols>
  <sheetData>
    <row r="2" spans="1:6" ht="15">
      <c r="A2" s="555" t="s">
        <v>1306</v>
      </c>
      <c r="B2" s="571"/>
      <c r="C2" s="571"/>
      <c r="D2" s="571"/>
      <c r="E2" s="571"/>
      <c r="F2" s="571"/>
    </row>
    <row r="3" spans="1:6" ht="15">
      <c r="A3" s="549" t="str">
        <f>Титульный!$B$10</f>
        <v>ООО "Дирекция Голицыно-3"</v>
      </c>
      <c r="B3" s="565"/>
      <c r="C3" s="565"/>
      <c r="D3" s="565"/>
      <c r="E3" s="565"/>
      <c r="F3" s="565"/>
    </row>
    <row r="4" spans="1:6" ht="15">
      <c r="A4" s="551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573"/>
      <c r="C4" s="573"/>
      <c r="D4" s="573"/>
      <c r="E4" s="573"/>
      <c r="F4" s="573"/>
    </row>
    <row r="5" spans="1:6" ht="15">
      <c r="A5" s="558"/>
      <c r="B5" s="558"/>
      <c r="C5" s="558"/>
      <c r="D5" s="558"/>
      <c r="E5" s="558"/>
      <c r="F5" s="558"/>
    </row>
    <row r="6" spans="1:6" ht="15">
      <c r="A6" s="556" t="s">
        <v>422</v>
      </c>
      <c r="B6" s="566"/>
      <c r="C6" s="566"/>
      <c r="D6" s="566"/>
      <c r="E6" s="566"/>
      <c r="F6" s="566"/>
    </row>
    <row r="7" spans="1:6" ht="15">
      <c r="A7" s="558"/>
      <c r="B7" s="558"/>
      <c r="C7" s="558"/>
      <c r="D7" s="558"/>
      <c r="E7" s="558"/>
      <c r="F7" s="558"/>
    </row>
    <row r="8" spans="1:6" ht="22.5">
      <c r="A8" s="1566" t="s">
        <v>3</v>
      </c>
      <c r="B8" s="1566" t="s">
        <v>423</v>
      </c>
      <c r="C8" s="58" t="s">
        <v>424</v>
      </c>
      <c r="D8" s="58" t="s">
        <v>425</v>
      </c>
      <c r="E8" s="58" t="s">
        <v>426</v>
      </c>
      <c r="F8" s="58" t="s">
        <v>427</v>
      </c>
    </row>
    <row r="9" spans="1:6" ht="15">
      <c r="A9" s="1566"/>
      <c r="B9" s="1566"/>
      <c r="C9" s="616" t="s">
        <v>50</v>
      </c>
      <c r="D9" s="552" t="s">
        <v>428</v>
      </c>
      <c r="E9" s="611" t="s">
        <v>46</v>
      </c>
      <c r="F9" s="611" t="s">
        <v>46</v>
      </c>
    </row>
    <row r="10" spans="1:6" ht="1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</row>
    <row r="11" spans="1:6" ht="15" hidden="1">
      <c r="A11" s="21">
        <v>0</v>
      </c>
      <c r="B11" s="9"/>
      <c r="C11" s="9"/>
      <c r="D11" s="9"/>
      <c r="E11" s="9"/>
      <c r="F11" s="9"/>
    </row>
    <row r="12" spans="1:6" ht="22.5">
      <c r="A12" s="849">
        <f>ROW(A1)</f>
        <v>1</v>
      </c>
      <c r="B12" s="230" t="s">
        <v>1030</v>
      </c>
      <c r="C12" s="225">
        <f>300000/1.18</f>
        <v>254237.28813559323</v>
      </c>
      <c r="D12" s="225">
        <v>1</v>
      </c>
      <c r="E12" s="46">
        <f>C12*D12/1000</f>
        <v>254.23728813559325</v>
      </c>
      <c r="F12" s="46">
        <f>E12*1.18</f>
        <v>300</v>
      </c>
    </row>
    <row r="13" spans="1:6" ht="15">
      <c r="A13" s="849">
        <f>ROW(A2)</f>
        <v>2</v>
      </c>
      <c r="B13" s="852"/>
      <c r="C13" s="853"/>
      <c r="D13" s="225"/>
      <c r="E13" s="46">
        <f>C13*D13/1000</f>
        <v>0</v>
      </c>
      <c r="F13" s="46">
        <f>E13*1.18</f>
        <v>0</v>
      </c>
    </row>
    <row r="14" spans="1:6" ht="15">
      <c r="A14" s="849">
        <f>ROW(A3)</f>
        <v>3</v>
      </c>
      <c r="B14" s="852"/>
      <c r="C14" s="853"/>
      <c r="D14" s="225"/>
      <c r="E14" s="46">
        <f>C14*D14/1000</f>
        <v>0</v>
      </c>
      <c r="F14" s="46">
        <f>E14*1.18</f>
        <v>0</v>
      </c>
    </row>
    <row r="15" spans="1:6" ht="15">
      <c r="A15" s="15"/>
      <c r="B15" s="840" t="s">
        <v>802</v>
      </c>
      <c r="C15" s="841"/>
      <c r="D15" s="15"/>
      <c r="E15" s="15"/>
      <c r="F15" s="15"/>
    </row>
    <row r="16" spans="1:6" ht="15">
      <c r="A16" s="18"/>
      <c r="B16" s="14" t="s">
        <v>339</v>
      </c>
      <c r="C16" s="10"/>
      <c r="D16" s="10"/>
      <c r="E16" s="46">
        <f>SUM(E11:E15)</f>
        <v>254.23728813559325</v>
      </c>
      <c r="F16" s="46">
        <f>SUM(F11:F15)</f>
        <v>300</v>
      </c>
    </row>
    <row r="17" spans="1:6" ht="15">
      <c r="A17" s="558"/>
      <c r="B17" s="558"/>
      <c r="C17" s="558"/>
      <c r="D17" s="558"/>
      <c r="E17" s="558"/>
      <c r="F17" s="558"/>
    </row>
    <row r="18" spans="1:6" ht="15">
      <c r="A18" s="556" t="s">
        <v>429</v>
      </c>
      <c r="B18" s="566"/>
      <c r="C18" s="566"/>
      <c r="D18" s="566"/>
      <c r="E18" s="566"/>
      <c r="F18" s="566"/>
    </row>
    <row r="19" spans="1:6" ht="15">
      <c r="A19" s="558"/>
      <c r="B19" s="558"/>
      <c r="C19" s="558"/>
      <c r="D19" s="558"/>
      <c r="E19" s="558"/>
      <c r="F19" s="558"/>
    </row>
    <row r="20" spans="1:6" ht="26.25" customHeight="1">
      <c r="A20" s="1566" t="s">
        <v>3</v>
      </c>
      <c r="B20" s="1566" t="s">
        <v>430</v>
      </c>
      <c r="C20" s="1566"/>
      <c r="D20" s="1566"/>
      <c r="E20" s="58" t="s">
        <v>431</v>
      </c>
      <c r="F20" s="58" t="s">
        <v>432</v>
      </c>
    </row>
    <row r="21" spans="1:6" ht="15">
      <c r="A21" s="1566"/>
      <c r="B21" s="1566"/>
      <c r="C21" s="1566"/>
      <c r="D21" s="1566"/>
      <c r="E21" s="611" t="s">
        <v>46</v>
      </c>
      <c r="F21" s="611" t="s">
        <v>46</v>
      </c>
    </row>
    <row r="22" spans="1:6" ht="15">
      <c r="A22" s="9">
        <v>1</v>
      </c>
      <c r="B22" s="1593">
        <v>2</v>
      </c>
      <c r="C22" s="1593"/>
      <c r="D22" s="1593"/>
      <c r="E22" s="9">
        <v>3</v>
      </c>
      <c r="F22" s="9">
        <v>4</v>
      </c>
    </row>
    <row r="23" spans="1:6" ht="15" hidden="1">
      <c r="A23" s="21">
        <v>0</v>
      </c>
      <c r="B23" s="9"/>
      <c r="C23" s="9"/>
      <c r="D23" s="9"/>
      <c r="E23" s="9"/>
      <c r="F23" s="9"/>
    </row>
    <row r="24" spans="1:6" ht="15">
      <c r="A24" s="849">
        <f aca="true" t="shared" si="0" ref="A24:A33">ROW(A1)</f>
        <v>1</v>
      </c>
      <c r="B24" s="1592"/>
      <c r="C24" s="1592"/>
      <c r="D24" s="1592"/>
      <c r="E24" s="299"/>
      <c r="F24" s="46">
        <f aca="true" t="shared" si="1" ref="F24:F33">E24*1.18</f>
        <v>0</v>
      </c>
    </row>
    <row r="25" spans="1:6" ht="15">
      <c r="A25" s="849">
        <f t="shared" si="0"/>
        <v>2</v>
      </c>
      <c r="B25" s="852"/>
      <c r="C25" s="854"/>
      <c r="D25" s="855"/>
      <c r="E25" s="299"/>
      <c r="F25" s="46">
        <f t="shared" si="1"/>
        <v>0</v>
      </c>
    </row>
    <row r="26" spans="1:6" ht="15">
      <c r="A26" s="849">
        <f t="shared" si="0"/>
        <v>3</v>
      </c>
      <c r="B26" s="852"/>
      <c r="C26" s="854"/>
      <c r="D26" s="855"/>
      <c r="E26" s="299"/>
      <c r="F26" s="46">
        <f t="shared" si="1"/>
        <v>0</v>
      </c>
    </row>
    <row r="27" spans="1:6" ht="15">
      <c r="A27" s="849">
        <f t="shared" si="0"/>
        <v>4</v>
      </c>
      <c r="B27" s="852"/>
      <c r="C27" s="854"/>
      <c r="D27" s="855"/>
      <c r="E27" s="299"/>
      <c r="F27" s="46">
        <f t="shared" si="1"/>
        <v>0</v>
      </c>
    </row>
    <row r="28" spans="1:6" ht="15">
      <c r="A28" s="849">
        <f t="shared" si="0"/>
        <v>5</v>
      </c>
      <c r="B28" s="852"/>
      <c r="C28" s="854"/>
      <c r="D28" s="855"/>
      <c r="E28" s="299"/>
      <c r="F28" s="46">
        <f t="shared" si="1"/>
        <v>0</v>
      </c>
    </row>
    <row r="29" spans="1:6" ht="15">
      <c r="A29" s="849">
        <f t="shared" si="0"/>
        <v>6</v>
      </c>
      <c r="B29" s="852"/>
      <c r="C29" s="854"/>
      <c r="D29" s="855"/>
      <c r="E29" s="299"/>
      <c r="F29" s="46">
        <f t="shared" si="1"/>
        <v>0</v>
      </c>
    </row>
    <row r="30" spans="1:6" ht="15">
      <c r="A30" s="849">
        <f t="shared" si="0"/>
        <v>7</v>
      </c>
      <c r="B30" s="852"/>
      <c r="C30" s="854"/>
      <c r="D30" s="855"/>
      <c r="E30" s="299"/>
      <c r="F30" s="46">
        <f t="shared" si="1"/>
        <v>0</v>
      </c>
    </row>
    <row r="31" spans="1:6" ht="15">
      <c r="A31" s="849">
        <f t="shared" si="0"/>
        <v>8</v>
      </c>
      <c r="B31" s="852"/>
      <c r="C31" s="854"/>
      <c r="D31" s="855"/>
      <c r="E31" s="299"/>
      <c r="F31" s="46">
        <f t="shared" si="1"/>
        <v>0</v>
      </c>
    </row>
    <row r="32" spans="1:6" ht="15">
      <c r="A32" s="849">
        <f t="shared" si="0"/>
        <v>9</v>
      </c>
      <c r="B32" s="852"/>
      <c r="C32" s="854"/>
      <c r="D32" s="855"/>
      <c r="E32" s="299"/>
      <c r="F32" s="46">
        <f t="shared" si="1"/>
        <v>0</v>
      </c>
    </row>
    <row r="33" spans="1:6" ht="15">
      <c r="A33" s="849">
        <f t="shared" si="0"/>
        <v>10</v>
      </c>
      <c r="B33" s="852"/>
      <c r="C33" s="854"/>
      <c r="D33" s="855"/>
      <c r="E33" s="299"/>
      <c r="F33" s="46">
        <f t="shared" si="1"/>
        <v>0</v>
      </c>
    </row>
    <row r="34" spans="1:6" ht="15">
      <c r="A34" s="15"/>
      <c r="B34" s="840" t="s">
        <v>802</v>
      </c>
      <c r="C34" s="842"/>
      <c r="D34" s="841"/>
      <c r="E34" s="15"/>
      <c r="F34" s="15"/>
    </row>
    <row r="35" spans="1:6" ht="15">
      <c r="A35" s="18"/>
      <c r="B35" s="14" t="s">
        <v>339</v>
      </c>
      <c r="C35" s="10"/>
      <c r="D35" s="10"/>
      <c r="E35" s="25">
        <f>SUM(E23:E34)</f>
        <v>0</v>
      </c>
      <c r="F35" s="25">
        <f>SUM(F23:F34)</f>
        <v>0</v>
      </c>
    </row>
    <row r="36" spans="1:6" ht="15">
      <c r="A36" s="3"/>
      <c r="B36" s="4"/>
      <c r="C36" s="4"/>
      <c r="D36" s="4"/>
      <c r="E36" s="5"/>
      <c r="F36" s="6"/>
    </row>
    <row r="37" spans="1:6" ht="15">
      <c r="A37" s="558"/>
      <c r="B37" s="558"/>
      <c r="C37" s="558"/>
      <c r="D37" s="558"/>
      <c r="E37" s="558"/>
      <c r="F37" s="558"/>
    </row>
    <row r="38" spans="1:6" ht="15">
      <c r="A38" s="567" t="s">
        <v>433</v>
      </c>
      <c r="B38" s="614"/>
      <c r="C38" s="614"/>
      <c r="D38" s="614"/>
      <c r="E38" s="614"/>
      <c r="F38" s="566"/>
    </row>
    <row r="39" spans="1:6" ht="15">
      <c r="A39" s="566"/>
      <c r="B39" s="566"/>
      <c r="C39" s="566"/>
      <c r="D39" s="566"/>
      <c r="E39" s="566"/>
      <c r="F39" s="566"/>
    </row>
    <row r="40" spans="1:6" ht="15">
      <c r="A40" s="564" t="s">
        <v>350</v>
      </c>
      <c r="B40" s="565"/>
      <c r="C40" s="566"/>
      <c r="D40" s="566"/>
      <c r="E40" s="567"/>
      <c r="F40" s="566"/>
    </row>
    <row r="41" spans="1:6" ht="15">
      <c r="A41" s="565"/>
      <c r="B41" s="566"/>
      <c r="C41" s="566"/>
      <c r="D41" s="566"/>
      <c r="E41" s="566"/>
      <c r="F41" s="566"/>
    </row>
    <row r="42" spans="1:6" ht="15">
      <c r="A42" s="886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  <c r="B42" s="568"/>
      <c r="C42" s="566"/>
      <c r="D42" s="566"/>
      <c r="E42" s="566"/>
      <c r="F42" s="566"/>
    </row>
    <row r="43" ht="15">
      <c r="B43" s="1008" t="s">
        <v>219</v>
      </c>
    </row>
  </sheetData>
  <sheetProtection password="CF72" sheet="1" objects="1" scenarios="1"/>
  <mergeCells count="6">
    <mergeCell ref="B24:D24"/>
    <mergeCell ref="A8:A9"/>
    <mergeCell ref="B8:B9"/>
    <mergeCell ref="A20:A21"/>
    <mergeCell ref="B20:D21"/>
    <mergeCell ref="B22:D22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24:D33 B12:B14">
      <formula1>900</formula1>
    </dataValidation>
    <dataValidation type="decimal" allowBlank="1" showErrorMessage="1" errorTitle="Ошибка" error="Допускается ввод только действительных чисел!" sqref="E24:E33 C12:C14">
      <formula1>-999999999999999000000000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12:D14">
      <formula1>0</formula1>
      <formula2>9.99999999999999E+23</formula2>
    </dataValidation>
  </dataValidations>
  <printOptions/>
  <pageMargins left="0.33" right="0.17" top="0.24" bottom="0.22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193"/>
  <sheetViews>
    <sheetView zoomScale="115" zoomScaleNormal="115" zoomScalePageLayoutView="0" workbookViewId="0" topLeftCell="A1">
      <selection activeCell="D24" sqref="D24:H24"/>
    </sheetView>
  </sheetViews>
  <sheetFormatPr defaultColWidth="9.140625" defaultRowHeight="15"/>
  <cols>
    <col min="1" max="1" width="38.140625" style="0" customWidth="1"/>
    <col min="2" max="2" width="43.421875" style="0" customWidth="1"/>
    <col min="3" max="3" width="49.57421875" style="0" customWidth="1"/>
    <col min="4" max="4" width="9.140625" style="0" customWidth="1"/>
    <col min="5" max="5" width="4.57421875" style="0" customWidth="1"/>
  </cols>
  <sheetData>
    <row r="1" spans="1:4" ht="24.75" customHeight="1">
      <c r="A1" s="116" t="s">
        <v>698</v>
      </c>
      <c r="B1">
        <v>1</v>
      </c>
      <c r="C1" t="s">
        <v>702</v>
      </c>
      <c r="D1" s="117" t="str">
        <f>VLOOKUP(Титульный!B19,A1:C5,3,FALSE)</f>
        <v>нет</v>
      </c>
    </row>
    <row r="2" spans="1:3" ht="24.75" customHeight="1">
      <c r="A2" s="116" t="s">
        <v>697</v>
      </c>
      <c r="B2">
        <v>2</v>
      </c>
      <c r="C2" t="s">
        <v>703</v>
      </c>
    </row>
    <row r="3" spans="1:3" ht="24.75" customHeight="1">
      <c r="A3" s="116" t="s">
        <v>699</v>
      </c>
      <c r="B3">
        <v>3</v>
      </c>
      <c r="C3" t="s">
        <v>703</v>
      </c>
    </row>
    <row r="4" spans="1:3" ht="24.75" customHeight="1">
      <c r="A4" s="116" t="s">
        <v>700</v>
      </c>
      <c r="B4">
        <v>4</v>
      </c>
      <c r="C4" t="s">
        <v>703</v>
      </c>
    </row>
    <row r="5" spans="1:3" ht="24.75" customHeight="1">
      <c r="A5" s="116" t="s">
        <v>701</v>
      </c>
      <c r="B5">
        <v>5</v>
      </c>
      <c r="C5" t="s">
        <v>703</v>
      </c>
    </row>
    <row r="6" s="270" customFormat="1" ht="27.75" customHeight="1">
      <c r="A6" s="321"/>
    </row>
    <row r="7" s="270" customFormat="1" ht="15" customHeight="1">
      <c r="A7" s="961" t="str">
        <f>Титульный!B7</f>
        <v>версия организации</v>
      </c>
    </row>
    <row r="8" spans="1:2" ht="15">
      <c r="A8" s="322" t="s">
        <v>791</v>
      </c>
      <c r="B8" s="778">
        <f>IF(A7=A9,1,0)</f>
        <v>0</v>
      </c>
    </row>
    <row r="9" ht="15">
      <c r="A9" s="322" t="s">
        <v>792</v>
      </c>
    </row>
    <row r="10" ht="15">
      <c r="A10" s="802"/>
    </row>
    <row r="11" ht="15">
      <c r="A11" s="802"/>
    </row>
    <row r="12" ht="15">
      <c r="A12" s="802"/>
    </row>
    <row r="13" ht="15">
      <c r="A13" s="802"/>
    </row>
    <row r="14" s="270" customFormat="1" ht="15">
      <c r="A14" s="322" t="s">
        <v>757</v>
      </c>
    </row>
    <row r="15" s="270" customFormat="1" ht="15">
      <c r="A15" s="322" t="s">
        <v>756</v>
      </c>
    </row>
    <row r="16" s="801" customFormat="1" ht="15">
      <c r="A16" s="321"/>
    </row>
    <row r="17" spans="1:3" ht="15">
      <c r="A17" s="94" t="s">
        <v>671</v>
      </c>
      <c r="B17" s="773" t="str">
        <f>Титульный!B21</f>
        <v>питьевая</v>
      </c>
      <c r="C17" s="770">
        <f>IF(Титульный!B21="да",1,0)</f>
        <v>0</v>
      </c>
    </row>
    <row r="18" spans="1:3" ht="15">
      <c r="A18" s="799" t="s">
        <v>672</v>
      </c>
      <c r="B18" s="803" t="str">
        <f>IF(SUM(C19:C21)&gt;=2,"полный цикл","неполный цикл")</f>
        <v>полный цикл</v>
      </c>
      <c r="C18" s="800">
        <f>IF(Титульный!B22="да",1,0)</f>
        <v>0</v>
      </c>
    </row>
    <row r="19" spans="1:3" ht="15">
      <c r="A19" s="94" t="s">
        <v>673</v>
      </c>
      <c r="B19" s="773" t="str">
        <f>Титульный!B23</f>
        <v>да</v>
      </c>
      <c r="C19" s="774">
        <f>IF(Титульный!B23="да",1,0)</f>
        <v>1</v>
      </c>
    </row>
    <row r="20" spans="1:3" ht="15">
      <c r="A20" s="94" t="s">
        <v>132</v>
      </c>
      <c r="B20" s="773" t="str">
        <f>Титульный!B24</f>
        <v>да</v>
      </c>
      <c r="C20" s="774">
        <f>IF(Титульный!B24="да",1,0)</f>
        <v>1</v>
      </c>
    </row>
    <row r="21" spans="1:3" ht="15">
      <c r="A21" s="94" t="s">
        <v>674</v>
      </c>
      <c r="B21" s="773" t="str">
        <f>Титульный!B25</f>
        <v>да</v>
      </c>
      <c r="C21" s="774">
        <f>IF(Титульный!B25="да",1,0)</f>
        <v>1</v>
      </c>
    </row>
    <row r="22" spans="1:3" ht="15">
      <c r="A22" s="771" t="s">
        <v>675</v>
      </c>
      <c r="B22" t="str">
        <f>VLOOKUP(CONCATENATE(B17,C19,C20,C21),A25:C41,2,FALSE)</f>
        <v>тариф на питьевую воду</v>
      </c>
      <c r="C22" t="str">
        <f>VLOOKUP(CONCATENATE(B17,C19,C20,C21),$A$25:$C$41,3,FALSE)</f>
        <v>на питьевую воду</v>
      </c>
    </row>
    <row r="25" spans="1:3" ht="15">
      <c r="A25" t="s">
        <v>758</v>
      </c>
      <c r="B25" t="s">
        <v>759</v>
      </c>
      <c r="C25" t="s">
        <v>782</v>
      </c>
    </row>
    <row r="26" spans="1:3" ht="15">
      <c r="A26" t="s">
        <v>760</v>
      </c>
      <c r="B26" t="s">
        <v>759</v>
      </c>
      <c r="C26" t="s">
        <v>782</v>
      </c>
    </row>
    <row r="27" spans="1:3" ht="15">
      <c r="A27" t="s">
        <v>761</v>
      </c>
      <c r="B27" t="s">
        <v>762</v>
      </c>
      <c r="C27" t="s">
        <v>783</v>
      </c>
    </row>
    <row r="28" spans="1:3" ht="15">
      <c r="A28" t="s">
        <v>763</v>
      </c>
      <c r="B28" s="765" t="s">
        <v>769</v>
      </c>
      <c r="C28" s="765" t="s">
        <v>712</v>
      </c>
    </row>
    <row r="29" spans="1:3" ht="15">
      <c r="A29" t="s">
        <v>764</v>
      </c>
      <c r="B29" t="s">
        <v>789</v>
      </c>
      <c r="C29" t="s">
        <v>790</v>
      </c>
    </row>
    <row r="30" spans="1:3" ht="15">
      <c r="A30" t="s">
        <v>765</v>
      </c>
      <c r="B30" t="s">
        <v>759</v>
      </c>
      <c r="C30" t="s">
        <v>782</v>
      </c>
    </row>
    <row r="31" spans="1:3" ht="15">
      <c r="A31" t="s">
        <v>766</v>
      </c>
      <c r="B31" t="s">
        <v>767</v>
      </c>
      <c r="C31" t="s">
        <v>784</v>
      </c>
    </row>
    <row r="32" spans="1:3" ht="15">
      <c r="A32" s="775" t="s">
        <v>768</v>
      </c>
      <c r="B32" s="775" t="s">
        <v>759</v>
      </c>
      <c r="C32" s="775" t="s">
        <v>782</v>
      </c>
    </row>
    <row r="33" spans="1:3" ht="15">
      <c r="A33" t="s">
        <v>770</v>
      </c>
      <c r="B33" s="765" t="s">
        <v>778</v>
      </c>
      <c r="C33" s="765" t="s">
        <v>712</v>
      </c>
    </row>
    <row r="34" spans="1:3" ht="15">
      <c r="A34" t="s">
        <v>771</v>
      </c>
      <c r="B34" s="765" t="s">
        <v>778</v>
      </c>
      <c r="C34" s="765" t="s">
        <v>712</v>
      </c>
    </row>
    <row r="35" spans="1:3" ht="15">
      <c r="A35" t="s">
        <v>772</v>
      </c>
      <c r="B35" t="s">
        <v>779</v>
      </c>
      <c r="C35" t="s">
        <v>785</v>
      </c>
    </row>
    <row r="36" spans="1:3" ht="15">
      <c r="A36" t="s">
        <v>773</v>
      </c>
      <c r="B36" s="765" t="s">
        <v>769</v>
      </c>
      <c r="C36" s="765" t="s">
        <v>712</v>
      </c>
    </row>
    <row r="37" spans="1:3" ht="15">
      <c r="A37" t="s">
        <v>774</v>
      </c>
      <c r="B37" s="765" t="s">
        <v>778</v>
      </c>
      <c r="C37" s="765" t="s">
        <v>712</v>
      </c>
    </row>
    <row r="38" spans="1:3" ht="15">
      <c r="A38" t="s">
        <v>775</v>
      </c>
      <c r="B38" t="s">
        <v>780</v>
      </c>
      <c r="C38" t="s">
        <v>786</v>
      </c>
    </row>
    <row r="39" spans="1:3" ht="15">
      <c r="A39" t="s">
        <v>776</v>
      </c>
      <c r="B39" t="s">
        <v>781</v>
      </c>
      <c r="C39" t="s">
        <v>787</v>
      </c>
    </row>
    <row r="40" spans="1:20" ht="15">
      <c r="A40" t="s">
        <v>777</v>
      </c>
      <c r="B40" s="765" t="s">
        <v>778</v>
      </c>
      <c r="C40" s="765" t="s">
        <v>712</v>
      </c>
      <c r="T40">
        <f>K40</f>
        <v>0</v>
      </c>
    </row>
    <row r="41" spans="1:20" ht="15">
      <c r="A41" s="769" t="s">
        <v>788</v>
      </c>
      <c r="B41" s="765" t="s">
        <v>769</v>
      </c>
      <c r="C41" s="765" t="s">
        <v>712</v>
      </c>
      <c r="T41">
        <f>K41</f>
        <v>0</v>
      </c>
    </row>
    <row r="42" ht="15">
      <c r="T42">
        <f>K42</f>
        <v>0</v>
      </c>
    </row>
    <row r="43" ht="15">
      <c r="T43">
        <f>K43</f>
        <v>0</v>
      </c>
    </row>
    <row r="45" ht="15">
      <c r="A45" s="83" t="s">
        <v>860</v>
      </c>
    </row>
    <row r="46" ht="15">
      <c r="A46" s="83" t="s">
        <v>861</v>
      </c>
    </row>
    <row r="47" ht="15">
      <c r="A47" s="83" t="s">
        <v>795</v>
      </c>
    </row>
    <row r="48" ht="15">
      <c r="A48" s="83" t="s">
        <v>862</v>
      </c>
    </row>
    <row r="49" ht="15">
      <c r="A49" s="83" t="s">
        <v>863</v>
      </c>
    </row>
    <row r="50" ht="15">
      <c r="A50" s="83" t="s">
        <v>864</v>
      </c>
    </row>
    <row r="51" ht="15">
      <c r="A51" s="83" t="s">
        <v>865</v>
      </c>
    </row>
    <row r="52" spans="1:3" ht="15">
      <c r="A52" t="s">
        <v>928</v>
      </c>
      <c r="C52" t="s">
        <v>1147</v>
      </c>
    </row>
    <row r="53" spans="1:3" ht="15">
      <c r="A53" t="s">
        <v>876</v>
      </c>
      <c r="B53" t="s">
        <v>1044</v>
      </c>
      <c r="C53" t="s">
        <v>1045</v>
      </c>
    </row>
    <row r="54" spans="1:3" ht="15">
      <c r="A54" t="s">
        <v>877</v>
      </c>
      <c r="B54" t="s">
        <v>1046</v>
      </c>
      <c r="C54" t="s">
        <v>1047</v>
      </c>
    </row>
    <row r="55" spans="1:3" ht="15">
      <c r="A55" t="s">
        <v>878</v>
      </c>
      <c r="B55" t="s">
        <v>1048</v>
      </c>
      <c r="C55" t="s">
        <v>1049</v>
      </c>
    </row>
    <row r="56" spans="1:3" ht="15">
      <c r="A56" t="s">
        <v>879</v>
      </c>
      <c r="B56" t="s">
        <v>1050</v>
      </c>
      <c r="C56" t="s">
        <v>1051</v>
      </c>
    </row>
    <row r="57" spans="1:3" ht="15">
      <c r="A57" t="s">
        <v>880</v>
      </c>
      <c r="B57" t="s">
        <v>1052</v>
      </c>
      <c r="C57" t="s">
        <v>1053</v>
      </c>
    </row>
    <row r="58" spans="1:3" ht="15">
      <c r="A58" t="s">
        <v>881</v>
      </c>
      <c r="B58" t="s">
        <v>1054</v>
      </c>
      <c r="C58" t="s">
        <v>1055</v>
      </c>
    </row>
    <row r="59" spans="1:3" ht="15">
      <c r="A59" t="s">
        <v>882</v>
      </c>
      <c r="B59" t="s">
        <v>1056</v>
      </c>
      <c r="C59" t="s">
        <v>1057</v>
      </c>
    </row>
    <row r="60" spans="1:3" ht="15">
      <c r="A60" t="s">
        <v>883</v>
      </c>
      <c r="B60" t="s">
        <v>1058</v>
      </c>
      <c r="C60" t="s">
        <v>1059</v>
      </c>
    </row>
    <row r="61" spans="1:3" ht="15">
      <c r="A61" t="s">
        <v>884</v>
      </c>
      <c r="B61" t="s">
        <v>1060</v>
      </c>
      <c r="C61" t="s">
        <v>1061</v>
      </c>
    </row>
    <row r="62" spans="1:3" ht="15">
      <c r="A62" t="s">
        <v>885</v>
      </c>
      <c r="B62" t="s">
        <v>1062</v>
      </c>
      <c r="C62" t="s">
        <v>1063</v>
      </c>
    </row>
    <row r="63" spans="1:3" ht="15">
      <c r="A63" t="s">
        <v>886</v>
      </c>
      <c r="B63" t="s">
        <v>1064</v>
      </c>
      <c r="C63" t="s">
        <v>1065</v>
      </c>
    </row>
    <row r="64" spans="1:3" ht="15">
      <c r="A64" t="s">
        <v>887</v>
      </c>
      <c r="B64" t="s">
        <v>1066</v>
      </c>
      <c r="C64" t="s">
        <v>1067</v>
      </c>
    </row>
    <row r="65" spans="1:3" ht="15">
      <c r="A65" t="s">
        <v>888</v>
      </c>
      <c r="B65" t="s">
        <v>1068</v>
      </c>
      <c r="C65" t="s">
        <v>1069</v>
      </c>
    </row>
    <row r="66" spans="1:3" ht="15">
      <c r="A66" t="s">
        <v>889</v>
      </c>
      <c r="B66" t="s">
        <v>1070</v>
      </c>
      <c r="C66" t="s">
        <v>1071</v>
      </c>
    </row>
    <row r="67" spans="1:3" ht="15">
      <c r="A67" t="s">
        <v>890</v>
      </c>
      <c r="B67" t="s">
        <v>1072</v>
      </c>
      <c r="C67" t="s">
        <v>1073</v>
      </c>
    </row>
    <row r="68" spans="1:20" ht="15">
      <c r="A68" t="s">
        <v>891</v>
      </c>
      <c r="B68" t="s">
        <v>1074</v>
      </c>
      <c r="C68" t="s">
        <v>1075</v>
      </c>
      <c r="S68" t="e">
        <f>T68/R68*100</f>
        <v>#DIV/0!</v>
      </c>
      <c r="T68">
        <f>K68</f>
        <v>0</v>
      </c>
    </row>
    <row r="69" spans="1:3" ht="15">
      <c r="A69" t="s">
        <v>892</v>
      </c>
      <c r="B69" t="s">
        <v>1076</v>
      </c>
      <c r="C69" t="s">
        <v>1077</v>
      </c>
    </row>
    <row r="70" spans="1:3" ht="15">
      <c r="A70" t="s">
        <v>893</v>
      </c>
      <c r="B70" t="s">
        <v>1078</v>
      </c>
      <c r="C70" t="s">
        <v>1079</v>
      </c>
    </row>
    <row r="71" spans="1:3" ht="15">
      <c r="A71" t="s">
        <v>894</v>
      </c>
      <c r="B71" t="s">
        <v>1080</v>
      </c>
      <c r="C71" t="s">
        <v>1081</v>
      </c>
    </row>
    <row r="72" spans="1:3" ht="15">
      <c r="A72" t="s">
        <v>895</v>
      </c>
      <c r="B72" t="s">
        <v>1082</v>
      </c>
      <c r="C72" t="s">
        <v>1083</v>
      </c>
    </row>
    <row r="73" spans="1:3" ht="15">
      <c r="A73" t="s">
        <v>896</v>
      </c>
      <c r="B73" t="s">
        <v>1084</v>
      </c>
      <c r="C73" t="s">
        <v>1085</v>
      </c>
    </row>
    <row r="74" spans="1:3" ht="15">
      <c r="A74" t="s">
        <v>897</v>
      </c>
      <c r="B74" t="s">
        <v>1086</v>
      </c>
      <c r="C74" t="s">
        <v>1087</v>
      </c>
    </row>
    <row r="75" spans="1:20" ht="15">
      <c r="A75" t="s">
        <v>898</v>
      </c>
      <c r="B75" t="s">
        <v>1088</v>
      </c>
      <c r="C75" t="s">
        <v>1089</v>
      </c>
      <c r="S75" t="e">
        <f>T75/R75*100</f>
        <v>#DIV/0!</v>
      </c>
      <c r="T75">
        <f>K75</f>
        <v>0</v>
      </c>
    </row>
    <row r="76" spans="1:3" ht="15">
      <c r="A76" t="s">
        <v>899</v>
      </c>
      <c r="B76" t="s">
        <v>1090</v>
      </c>
      <c r="C76" t="s">
        <v>1091</v>
      </c>
    </row>
    <row r="77" spans="1:3" ht="15">
      <c r="A77" t="s">
        <v>900</v>
      </c>
      <c r="B77" t="s">
        <v>1092</v>
      </c>
      <c r="C77" t="s">
        <v>1093</v>
      </c>
    </row>
    <row r="78" spans="1:3" ht="15">
      <c r="A78" t="s">
        <v>901</v>
      </c>
      <c r="B78" t="s">
        <v>1094</v>
      </c>
      <c r="C78" t="s">
        <v>1095</v>
      </c>
    </row>
    <row r="79" spans="1:3" ht="15">
      <c r="A79" t="s">
        <v>902</v>
      </c>
      <c r="B79" t="s">
        <v>1096</v>
      </c>
      <c r="C79" t="s">
        <v>1097</v>
      </c>
    </row>
    <row r="80" spans="1:3" ht="15">
      <c r="A80" t="s">
        <v>903</v>
      </c>
      <c r="B80" t="s">
        <v>1098</v>
      </c>
      <c r="C80" t="s">
        <v>1099</v>
      </c>
    </row>
    <row r="81" spans="1:3" ht="15">
      <c r="A81" t="s">
        <v>904</v>
      </c>
      <c r="B81" t="s">
        <v>1100</v>
      </c>
      <c r="C81" t="s">
        <v>1101</v>
      </c>
    </row>
    <row r="82" spans="1:3" ht="15">
      <c r="A82" t="s">
        <v>905</v>
      </c>
      <c r="B82" t="s">
        <v>1102</v>
      </c>
      <c r="C82" t="s">
        <v>1103</v>
      </c>
    </row>
    <row r="83" spans="1:3" ht="15">
      <c r="A83" t="s">
        <v>906</v>
      </c>
      <c r="B83" t="s">
        <v>1104</v>
      </c>
      <c r="C83" t="s">
        <v>1105</v>
      </c>
    </row>
    <row r="84" spans="1:3" ht="15">
      <c r="A84" t="s">
        <v>907</v>
      </c>
      <c r="B84" t="s">
        <v>1106</v>
      </c>
      <c r="C84" t="s">
        <v>1107</v>
      </c>
    </row>
    <row r="85" spans="1:3" ht="15">
      <c r="A85" t="s">
        <v>908</v>
      </c>
      <c r="B85" t="s">
        <v>1108</v>
      </c>
      <c r="C85" t="s">
        <v>1109</v>
      </c>
    </row>
    <row r="86" spans="1:3" ht="15">
      <c r="A86" t="s">
        <v>909</v>
      </c>
      <c r="B86" t="s">
        <v>1110</v>
      </c>
      <c r="C86" t="s">
        <v>1111</v>
      </c>
    </row>
    <row r="87" spans="1:3" ht="15">
      <c r="A87" t="s">
        <v>910</v>
      </c>
      <c r="B87" t="s">
        <v>1112</v>
      </c>
      <c r="C87" t="s">
        <v>1113</v>
      </c>
    </row>
    <row r="88" spans="1:3" ht="15">
      <c r="A88" t="s">
        <v>911</v>
      </c>
      <c r="B88" t="s">
        <v>1114</v>
      </c>
      <c r="C88" t="s">
        <v>1115</v>
      </c>
    </row>
    <row r="89" spans="1:3" ht="15">
      <c r="A89" t="s">
        <v>912</v>
      </c>
      <c r="B89" t="s">
        <v>1116</v>
      </c>
      <c r="C89" t="s">
        <v>1117</v>
      </c>
    </row>
    <row r="90" spans="1:3" ht="15">
      <c r="A90" t="s">
        <v>913</v>
      </c>
      <c r="B90" t="s">
        <v>1118</v>
      </c>
      <c r="C90" t="s">
        <v>1119</v>
      </c>
    </row>
    <row r="91" spans="1:3" ht="15">
      <c r="A91" t="s">
        <v>914</v>
      </c>
      <c r="B91" t="s">
        <v>1120</v>
      </c>
      <c r="C91" t="s">
        <v>1121</v>
      </c>
    </row>
    <row r="92" spans="1:3" ht="15">
      <c r="A92" t="s">
        <v>915</v>
      </c>
      <c r="B92" t="s">
        <v>1122</v>
      </c>
      <c r="C92" t="s">
        <v>1123</v>
      </c>
    </row>
    <row r="93" spans="1:3" ht="15">
      <c r="A93" t="s">
        <v>916</v>
      </c>
      <c r="B93" t="s">
        <v>1124</v>
      </c>
      <c r="C93" t="s">
        <v>1125</v>
      </c>
    </row>
    <row r="94" spans="1:3" ht="15">
      <c r="A94" t="s">
        <v>917</v>
      </c>
      <c r="B94" t="s">
        <v>1126</v>
      </c>
      <c r="C94" t="s">
        <v>1127</v>
      </c>
    </row>
    <row r="95" spans="1:3" ht="15">
      <c r="A95" t="s">
        <v>918</v>
      </c>
      <c r="B95" t="s">
        <v>1128</v>
      </c>
      <c r="C95" t="s">
        <v>1129</v>
      </c>
    </row>
    <row r="96" spans="1:3" ht="15">
      <c r="A96" t="s">
        <v>919</v>
      </c>
      <c r="B96" t="s">
        <v>1130</v>
      </c>
      <c r="C96" t="s">
        <v>1131</v>
      </c>
    </row>
    <row r="97" spans="1:3" ht="15">
      <c r="A97" t="s">
        <v>920</v>
      </c>
      <c r="B97" t="s">
        <v>1132</v>
      </c>
      <c r="C97" t="s">
        <v>1133</v>
      </c>
    </row>
    <row r="98" spans="1:3" ht="15">
      <c r="A98" t="s">
        <v>921</v>
      </c>
      <c r="B98" t="s">
        <v>1134</v>
      </c>
      <c r="C98" t="s">
        <v>1135</v>
      </c>
    </row>
    <row r="99" spans="1:3" ht="15">
      <c r="A99" t="s">
        <v>922</v>
      </c>
      <c r="B99" t="s">
        <v>1136</v>
      </c>
      <c r="C99" t="s">
        <v>1137</v>
      </c>
    </row>
    <row r="100" spans="1:3" ht="15">
      <c r="A100" t="s">
        <v>923</v>
      </c>
      <c r="B100" t="s">
        <v>1138</v>
      </c>
      <c r="C100" t="s">
        <v>1139</v>
      </c>
    </row>
    <row r="101" spans="1:3" ht="15">
      <c r="A101" t="s">
        <v>924</v>
      </c>
      <c r="B101" t="s">
        <v>1140</v>
      </c>
      <c r="C101" t="s">
        <v>1141</v>
      </c>
    </row>
    <row r="102" spans="1:3" ht="15">
      <c r="A102" t="s">
        <v>925</v>
      </c>
      <c r="B102" t="s">
        <v>925</v>
      </c>
      <c r="C102" t="s">
        <v>925</v>
      </c>
    </row>
    <row r="103" spans="1:3" ht="15">
      <c r="A103" t="s">
        <v>926</v>
      </c>
      <c r="B103" t="s">
        <v>1142</v>
      </c>
      <c r="C103" t="s">
        <v>1143</v>
      </c>
    </row>
    <row r="104" spans="1:3" ht="15">
      <c r="A104" t="s">
        <v>927</v>
      </c>
      <c r="B104" t="s">
        <v>1144</v>
      </c>
      <c r="C104" t="s">
        <v>1145</v>
      </c>
    </row>
    <row r="105" spans="1:3" ht="15">
      <c r="A105" t="s">
        <v>928</v>
      </c>
      <c r="B105" t="s">
        <v>1146</v>
      </c>
      <c r="C105" t="s">
        <v>1147</v>
      </c>
    </row>
    <row r="106" spans="1:3" ht="15">
      <c r="A106" t="s">
        <v>929</v>
      </c>
      <c r="B106" t="s">
        <v>1148</v>
      </c>
      <c r="C106" t="s">
        <v>1149</v>
      </c>
    </row>
    <row r="107" spans="1:3" ht="15">
      <c r="A107" t="s">
        <v>930</v>
      </c>
      <c r="B107" t="s">
        <v>1150</v>
      </c>
      <c r="C107" t="s">
        <v>1151</v>
      </c>
    </row>
    <row r="108" spans="1:3" ht="15">
      <c r="A108" t="s">
        <v>931</v>
      </c>
      <c r="B108" t="s">
        <v>1152</v>
      </c>
      <c r="C108" t="s">
        <v>1153</v>
      </c>
    </row>
    <row r="109" spans="1:3" ht="15">
      <c r="A109" t="s">
        <v>932</v>
      </c>
      <c r="B109" t="s">
        <v>1154</v>
      </c>
      <c r="C109" t="s">
        <v>1155</v>
      </c>
    </row>
    <row r="110" spans="1:3" ht="15">
      <c r="A110" t="s">
        <v>933</v>
      </c>
      <c r="B110" t="s">
        <v>1156</v>
      </c>
      <c r="C110" t="s">
        <v>1157</v>
      </c>
    </row>
    <row r="111" spans="1:3" ht="15">
      <c r="A111" t="s">
        <v>934</v>
      </c>
      <c r="B111" t="s">
        <v>1158</v>
      </c>
      <c r="C111" t="s">
        <v>1159</v>
      </c>
    </row>
    <row r="112" spans="1:3" ht="15">
      <c r="A112" t="s">
        <v>935</v>
      </c>
      <c r="B112" t="s">
        <v>1160</v>
      </c>
      <c r="C112" t="s">
        <v>1161</v>
      </c>
    </row>
    <row r="113" spans="1:3" ht="15">
      <c r="A113" t="s">
        <v>936</v>
      </c>
      <c r="B113" t="s">
        <v>1162</v>
      </c>
      <c r="C113" t="s">
        <v>1163</v>
      </c>
    </row>
    <row r="114" spans="1:3" ht="15">
      <c r="A114" t="s">
        <v>937</v>
      </c>
      <c r="B114" t="s">
        <v>1164</v>
      </c>
      <c r="C114" t="s">
        <v>1165</v>
      </c>
    </row>
    <row r="115" spans="1:3" ht="15">
      <c r="A115" t="s">
        <v>938</v>
      </c>
      <c r="B115" t="s">
        <v>1166</v>
      </c>
      <c r="C115" t="s">
        <v>1167</v>
      </c>
    </row>
    <row r="116" spans="1:3" ht="15">
      <c r="A116" t="s">
        <v>939</v>
      </c>
      <c r="B116" t="s">
        <v>1168</v>
      </c>
      <c r="C116" t="s">
        <v>1169</v>
      </c>
    </row>
    <row r="117" spans="1:3" ht="15">
      <c r="A117" t="s">
        <v>940</v>
      </c>
      <c r="B117" t="s">
        <v>1170</v>
      </c>
      <c r="C117" t="s">
        <v>1171</v>
      </c>
    </row>
    <row r="118" spans="1:3" ht="15">
      <c r="A118" t="s">
        <v>941</v>
      </c>
      <c r="B118" t="s">
        <v>1172</v>
      </c>
      <c r="C118" t="s">
        <v>1173</v>
      </c>
    </row>
    <row r="119" spans="1:3" ht="15">
      <c r="A119" t="s">
        <v>942</v>
      </c>
      <c r="B119" t="s">
        <v>1174</v>
      </c>
      <c r="C119" t="s">
        <v>1175</v>
      </c>
    </row>
    <row r="120" spans="1:3" ht="15">
      <c r="A120" t="s">
        <v>943</v>
      </c>
      <c r="B120" t="s">
        <v>1176</v>
      </c>
      <c r="C120" t="s">
        <v>1177</v>
      </c>
    </row>
    <row r="121" spans="1:3" ht="15">
      <c r="A121" t="s">
        <v>944</v>
      </c>
      <c r="B121" t="s">
        <v>1178</v>
      </c>
      <c r="C121" t="s">
        <v>1179</v>
      </c>
    </row>
    <row r="122" spans="1:3" ht="15">
      <c r="A122" t="s">
        <v>945</v>
      </c>
      <c r="B122" t="s">
        <v>1180</v>
      </c>
      <c r="C122" t="s">
        <v>1181</v>
      </c>
    </row>
    <row r="123" spans="1:3" ht="15">
      <c r="A123" t="s">
        <v>946</v>
      </c>
      <c r="B123" t="s">
        <v>1182</v>
      </c>
      <c r="C123" t="s">
        <v>1183</v>
      </c>
    </row>
    <row r="124" spans="1:3" ht="15">
      <c r="A124" t="s">
        <v>947</v>
      </c>
      <c r="B124" t="s">
        <v>1184</v>
      </c>
      <c r="C124" t="s">
        <v>1185</v>
      </c>
    </row>
    <row r="193" ht="15">
      <c r="R193" t="e">
        <f>T36/T23</f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4"/>
  <dimension ref="A2:J34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.00390625" style="513" customWidth="1"/>
    <col min="2" max="2" width="28.00390625" style="513" customWidth="1"/>
    <col min="3" max="5" width="11.57421875" style="513" customWidth="1"/>
    <col min="6" max="6" width="15.421875" style="513" customWidth="1"/>
    <col min="7" max="8" width="11.57421875" style="513" customWidth="1"/>
    <col min="9" max="9" width="13.57421875" style="513" customWidth="1"/>
    <col min="10" max="10" width="11.57421875" style="513" customWidth="1"/>
    <col min="11" max="16384" width="9.140625" style="513" customWidth="1"/>
  </cols>
  <sheetData>
    <row r="2" spans="1:10" ht="15">
      <c r="A2" s="555" t="s">
        <v>1307</v>
      </c>
      <c r="B2" s="555"/>
      <c r="C2" s="555"/>
      <c r="D2" s="555"/>
      <c r="E2" s="555"/>
      <c r="F2" s="571"/>
      <c r="G2" s="558"/>
      <c r="H2" s="558"/>
      <c r="I2" s="558"/>
      <c r="J2" s="558"/>
    </row>
    <row r="3" spans="1:10" ht="15">
      <c r="A3" s="549" t="str">
        <f>Титульный!$B$10</f>
        <v>ООО "Дирекция Голицыно-3"</v>
      </c>
      <c r="B3" s="311"/>
      <c r="C3" s="311"/>
      <c r="D3" s="311"/>
      <c r="E3" s="311"/>
      <c r="F3" s="608"/>
      <c r="G3" s="558"/>
      <c r="H3" s="558"/>
      <c r="I3" s="558"/>
      <c r="J3" s="558"/>
    </row>
    <row r="4" spans="1:10" ht="15">
      <c r="A4" s="551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314"/>
      <c r="C4" s="314"/>
      <c r="D4" s="314"/>
      <c r="E4" s="314"/>
      <c r="F4" s="609"/>
      <c r="G4" s="558"/>
      <c r="H4" s="558"/>
      <c r="I4" s="558"/>
      <c r="J4" s="558"/>
    </row>
    <row r="5" spans="1:10" ht="15">
      <c r="A5" s="558"/>
      <c r="B5" s="558"/>
      <c r="C5" s="558"/>
      <c r="D5" s="558"/>
      <c r="E5" s="558"/>
      <c r="F5" s="558"/>
      <c r="G5" s="566"/>
      <c r="H5" s="566"/>
      <c r="I5" s="566"/>
      <c r="J5" s="566"/>
    </row>
    <row r="6" spans="1:10" ht="15">
      <c r="A6" s="556" t="s">
        <v>422</v>
      </c>
      <c r="B6" s="566"/>
      <c r="C6" s="566"/>
      <c r="D6" s="566"/>
      <c r="E6" s="566"/>
      <c r="F6" s="566"/>
      <c r="G6" s="566"/>
      <c r="H6" s="566"/>
      <c r="I6" s="566"/>
      <c r="J6" s="566"/>
    </row>
    <row r="7" spans="1:10" ht="15">
      <c r="A7" s="558"/>
      <c r="B7" s="558"/>
      <c r="C7" s="558"/>
      <c r="D7" s="558"/>
      <c r="E7" s="558"/>
      <c r="F7" s="558"/>
      <c r="G7" s="558"/>
      <c r="H7" s="566"/>
      <c r="I7" s="566"/>
      <c r="J7" s="566"/>
    </row>
    <row r="8" spans="1:10" ht="24" customHeight="1">
      <c r="A8" s="1566" t="s">
        <v>3</v>
      </c>
      <c r="B8" s="1566" t="s">
        <v>434</v>
      </c>
      <c r="C8" s="1566" t="s">
        <v>440</v>
      </c>
      <c r="D8" s="1566" t="s">
        <v>441</v>
      </c>
      <c r="E8" s="58" t="s">
        <v>426</v>
      </c>
      <c r="F8" s="552" t="s">
        <v>345</v>
      </c>
      <c r="G8" s="58" t="s">
        <v>427</v>
      </c>
      <c r="H8" s="558"/>
      <c r="I8" s="566"/>
      <c r="J8" s="566"/>
    </row>
    <row r="9" spans="1:10" ht="17.25" customHeight="1">
      <c r="A9" s="1566"/>
      <c r="B9" s="1566"/>
      <c r="C9" s="1566"/>
      <c r="D9" s="1566"/>
      <c r="E9" s="611" t="s">
        <v>46</v>
      </c>
      <c r="F9" s="559" t="s">
        <v>349</v>
      </c>
      <c r="G9" s="611" t="s">
        <v>46</v>
      </c>
      <c r="H9" s="558"/>
      <c r="I9" s="566"/>
      <c r="J9" s="566"/>
    </row>
    <row r="10" spans="1:10" ht="1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612"/>
      <c r="I10" s="612"/>
      <c r="J10" s="612"/>
    </row>
    <row r="11" spans="1:10" ht="15" hidden="1">
      <c r="A11" s="21">
        <v>0</v>
      </c>
      <c r="B11" s="9"/>
      <c r="C11" s="9"/>
      <c r="D11" s="9"/>
      <c r="E11" s="9"/>
      <c r="F11" s="9"/>
      <c r="G11" s="9"/>
      <c r="H11" s="612"/>
      <c r="I11" s="612"/>
      <c r="J11" s="612"/>
    </row>
    <row r="12" spans="1:10" ht="15">
      <c r="A12" s="849">
        <f>ROW(A1)</f>
        <v>1</v>
      </c>
      <c r="B12" s="234" t="s">
        <v>1357</v>
      </c>
      <c r="C12" s="234" t="s">
        <v>1358</v>
      </c>
      <c r="D12" s="227" t="s">
        <v>1359</v>
      </c>
      <c r="E12" s="225">
        <v>43.9</v>
      </c>
      <c r="F12" s="887" t="s">
        <v>702</v>
      </c>
      <c r="G12" s="12">
        <f>IF(F12="да",E12*1.18,E12)</f>
        <v>51.80199999999999</v>
      </c>
      <c r="H12" s="558"/>
      <c r="I12" s="566"/>
      <c r="J12" s="566"/>
    </row>
    <row r="13" spans="1:10" ht="15">
      <c r="A13" s="849">
        <f>ROW(A2)</f>
        <v>2</v>
      </c>
      <c r="B13" s="856"/>
      <c r="C13" s="234"/>
      <c r="D13" s="227"/>
      <c r="E13" s="225"/>
      <c r="F13" s="887"/>
      <c r="G13" s="12">
        <f>IF(F13="да",E13*1.18,E13)</f>
        <v>0</v>
      </c>
      <c r="H13" s="558"/>
      <c r="I13" s="566"/>
      <c r="J13" s="566"/>
    </row>
    <row r="14" spans="1:10" ht="15">
      <c r="A14" s="849">
        <f>ROW(A3)</f>
        <v>3</v>
      </c>
      <c r="B14" s="856"/>
      <c r="C14" s="234"/>
      <c r="D14" s="227"/>
      <c r="E14" s="225"/>
      <c r="F14" s="887"/>
      <c r="G14" s="12">
        <f>IF(F14="да",E14*1.18,E14)</f>
        <v>0</v>
      </c>
      <c r="H14" s="558"/>
      <c r="I14" s="566"/>
      <c r="J14" s="566"/>
    </row>
    <row r="15" spans="1:10" ht="15">
      <c r="A15" s="15"/>
      <c r="B15" s="840" t="s">
        <v>802</v>
      </c>
      <c r="C15" s="32"/>
      <c r="D15" s="32"/>
      <c r="E15" s="32"/>
      <c r="F15" s="32"/>
      <c r="G15" s="32"/>
      <c r="H15" s="558"/>
      <c r="I15" s="566"/>
      <c r="J15" s="566"/>
    </row>
    <row r="16" spans="1:10" ht="15">
      <c r="A16" s="18"/>
      <c r="B16" s="14" t="s">
        <v>339</v>
      </c>
      <c r="C16" s="10"/>
      <c r="D16" s="10"/>
      <c r="E16" s="46">
        <f>SUM(E11:E15)</f>
        <v>43.9</v>
      </c>
      <c r="F16" s="10"/>
      <c r="G16" s="46">
        <f>SUM(G11:G15)</f>
        <v>51.80199999999999</v>
      </c>
      <c r="H16" s="558"/>
      <c r="I16" s="566"/>
      <c r="J16" s="566"/>
    </row>
    <row r="17" spans="1:10" ht="15">
      <c r="A17" s="558"/>
      <c r="B17" s="558"/>
      <c r="C17" s="558"/>
      <c r="D17" s="558"/>
      <c r="E17" s="558"/>
      <c r="F17" s="558"/>
      <c r="G17" s="558"/>
      <c r="H17" s="566"/>
      <c r="I17" s="566"/>
      <c r="J17" s="566"/>
    </row>
    <row r="18" spans="1:10" ht="15">
      <c r="A18" s="556" t="s">
        <v>429</v>
      </c>
      <c r="B18" s="566"/>
      <c r="C18" s="566"/>
      <c r="D18" s="566"/>
      <c r="E18" s="566"/>
      <c r="F18" s="566"/>
      <c r="G18" s="566"/>
      <c r="H18" s="566"/>
      <c r="I18" s="566"/>
      <c r="J18" s="566"/>
    </row>
    <row r="19" spans="1:10" ht="15">
      <c r="A19" s="558"/>
      <c r="B19" s="558"/>
      <c r="C19" s="558"/>
      <c r="D19" s="558"/>
      <c r="E19" s="558"/>
      <c r="F19" s="558"/>
      <c r="G19" s="558"/>
      <c r="H19" s="558"/>
      <c r="I19" s="558"/>
      <c r="J19" s="558"/>
    </row>
    <row r="20" spans="1:10" ht="33.75">
      <c r="A20" s="1566" t="s">
        <v>3</v>
      </c>
      <c r="B20" s="1566" t="s">
        <v>435</v>
      </c>
      <c r="C20" s="1566" t="s">
        <v>436</v>
      </c>
      <c r="D20" s="1566" t="s">
        <v>326</v>
      </c>
      <c r="E20" s="1566" t="s">
        <v>437</v>
      </c>
      <c r="F20" s="1566" t="s">
        <v>438</v>
      </c>
      <c r="G20" s="1566" t="s">
        <v>439</v>
      </c>
      <c r="H20" s="58" t="s">
        <v>426</v>
      </c>
      <c r="I20" s="552" t="s">
        <v>345</v>
      </c>
      <c r="J20" s="58" t="s">
        <v>427</v>
      </c>
    </row>
    <row r="21" spans="1:10" ht="15">
      <c r="A21" s="1566"/>
      <c r="B21" s="1566"/>
      <c r="C21" s="1566"/>
      <c r="D21" s="1566"/>
      <c r="E21" s="1566"/>
      <c r="F21" s="1566"/>
      <c r="G21" s="1566"/>
      <c r="H21" s="611" t="s">
        <v>46</v>
      </c>
      <c r="I21" s="559" t="s">
        <v>349</v>
      </c>
      <c r="J21" s="611" t="s">
        <v>46</v>
      </c>
    </row>
    <row r="22" spans="1:10" ht="15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9">
        <v>7</v>
      </c>
      <c r="H22" s="9">
        <v>8</v>
      </c>
      <c r="I22" s="9">
        <v>9</v>
      </c>
      <c r="J22" s="9">
        <v>10</v>
      </c>
    </row>
    <row r="23" spans="1:10" ht="15" hidden="1">
      <c r="A23" s="21">
        <v>0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5">
      <c r="A24" s="849">
        <f>ROW(A1)</f>
        <v>1</v>
      </c>
      <c r="B24" s="234"/>
      <c r="C24" s="234"/>
      <c r="D24" s="234"/>
      <c r="E24" s="234"/>
      <c r="F24" s="234"/>
      <c r="G24" s="227"/>
      <c r="H24" s="225"/>
      <c r="I24" s="887"/>
      <c r="J24" s="12">
        <f>IF(I24="да",H24*1.18,H24)</f>
        <v>0</v>
      </c>
    </row>
    <row r="25" spans="1:10" ht="15">
      <c r="A25" s="849">
        <f>ROW(A2)</f>
        <v>2</v>
      </c>
      <c r="B25" s="856"/>
      <c r="C25" s="234"/>
      <c r="D25" s="234"/>
      <c r="E25" s="234"/>
      <c r="F25" s="234"/>
      <c r="G25" s="227"/>
      <c r="H25" s="225"/>
      <c r="I25" s="887"/>
      <c r="J25" s="12">
        <f>IF(I25="да",H25*1.18,H25)</f>
        <v>0</v>
      </c>
    </row>
    <row r="26" spans="1:10" ht="15">
      <c r="A26" s="849">
        <f>ROW(A3)</f>
        <v>3</v>
      </c>
      <c r="B26" s="856"/>
      <c r="C26" s="234"/>
      <c r="D26" s="234"/>
      <c r="E26" s="234"/>
      <c r="F26" s="234"/>
      <c r="G26" s="227"/>
      <c r="H26" s="225"/>
      <c r="I26" s="887"/>
      <c r="J26" s="12">
        <f>IF(I26="да",H26*1.18,H26)</f>
        <v>0</v>
      </c>
    </row>
    <row r="27" spans="1:10" ht="15">
      <c r="A27" s="15"/>
      <c r="B27" s="840" t="s">
        <v>802</v>
      </c>
      <c r="C27" s="32"/>
      <c r="D27" s="32"/>
      <c r="E27" s="32"/>
      <c r="F27" s="32"/>
      <c r="G27" s="32"/>
      <c r="H27" s="32"/>
      <c r="I27" s="32"/>
      <c r="J27" s="32"/>
    </row>
    <row r="28" spans="1:10" ht="15">
      <c r="A28" s="18"/>
      <c r="B28" s="14" t="s">
        <v>339</v>
      </c>
      <c r="C28" s="10"/>
      <c r="D28" s="10"/>
      <c r="E28" s="33"/>
      <c r="F28" s="33"/>
      <c r="G28" s="33"/>
      <c r="H28" s="46">
        <f>SUM(H23:H27)</f>
        <v>0</v>
      </c>
      <c r="I28" s="10"/>
      <c r="J28" s="46">
        <f>SUM(J23:J27)</f>
        <v>0</v>
      </c>
    </row>
    <row r="29" spans="1:10" ht="15">
      <c r="A29" s="3"/>
      <c r="B29" s="4"/>
      <c r="C29" s="4"/>
      <c r="D29" s="4"/>
      <c r="E29" s="5"/>
      <c r="F29" s="6"/>
      <c r="G29" s="6"/>
      <c r="H29" s="7"/>
      <c r="I29" s="7"/>
      <c r="J29" s="7"/>
    </row>
    <row r="30" spans="1:10" ht="15">
      <c r="A30" s="566"/>
      <c r="B30" s="566"/>
      <c r="C30" s="566"/>
      <c r="D30" s="566"/>
      <c r="E30" s="566"/>
      <c r="F30" s="566"/>
      <c r="G30" s="566"/>
      <c r="H30" s="566"/>
      <c r="I30" s="566"/>
      <c r="J30" s="566"/>
    </row>
    <row r="31" spans="1:10" ht="15">
      <c r="A31" s="564" t="s">
        <v>350</v>
      </c>
      <c r="B31" s="565"/>
      <c r="C31" s="566"/>
      <c r="D31" s="566"/>
      <c r="E31" s="567"/>
      <c r="F31" s="566"/>
      <c r="G31" s="615"/>
      <c r="H31" s="566"/>
      <c r="I31" s="566"/>
      <c r="J31" s="566"/>
    </row>
    <row r="32" spans="1:10" ht="15">
      <c r="A32" s="565"/>
      <c r="B32" s="566"/>
      <c r="C32" s="566"/>
      <c r="D32" s="566"/>
      <c r="E32" s="566"/>
      <c r="F32" s="566"/>
      <c r="G32" s="615"/>
      <c r="H32" s="556"/>
      <c r="I32" s="566"/>
      <c r="J32" s="566"/>
    </row>
    <row r="33" spans="1:10" ht="15">
      <c r="A33" s="886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  <c r="B33" s="568"/>
      <c r="C33" s="566"/>
      <c r="D33" s="566"/>
      <c r="E33" s="566"/>
      <c r="F33" s="566"/>
      <c r="G33" s="566"/>
      <c r="H33" s="566"/>
      <c r="I33" s="566"/>
      <c r="J33" s="566"/>
    </row>
    <row r="34" ht="15">
      <c r="B34" s="1008" t="s">
        <v>219</v>
      </c>
    </row>
  </sheetData>
  <sheetProtection password="CF72" sheet="1" objects="1" scenarios="1"/>
  <mergeCells count="11">
    <mergeCell ref="C20:C21"/>
    <mergeCell ref="D20:D21"/>
    <mergeCell ref="E20:E21"/>
    <mergeCell ref="F20:F21"/>
    <mergeCell ref="G20:G21"/>
    <mergeCell ref="A8:A9"/>
    <mergeCell ref="B8:B9"/>
    <mergeCell ref="C8:C9"/>
    <mergeCell ref="D8:D9"/>
    <mergeCell ref="A20:A21"/>
    <mergeCell ref="B20:B21"/>
  </mergeCells>
  <dataValidations count="4">
    <dataValidation type="decimal" allowBlank="1" showErrorMessage="1" errorTitle="Ошибка" error="Допускается ввод только действительных чисел!" sqref="G12:G14 J24:J26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2:D14 B24:G26">
      <formula1>900</formula1>
    </dataValidation>
    <dataValidation type="decimal" allowBlank="1" showErrorMessage="1" errorTitle="Ошибка" error="Допускается ввод только неотрицательных чисел!" sqref="E12:E14 H24:H26">
      <formula1>0</formula1>
      <formula2>9.99999999999999E+23</formula2>
    </dataValidation>
    <dataValidation type="list" allowBlank="1" showInputMessage="1" showErrorMessage="1" sqref="F12:F14 I24:I26">
      <formula1>"да, нет"</formula1>
    </dataValidation>
  </dataValidations>
  <printOptions/>
  <pageMargins left="0.25" right="0.17" top="0.21" bottom="0.21" header="0.17" footer="0.17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5"/>
  <dimension ref="A2:F35"/>
  <sheetViews>
    <sheetView zoomScalePageLayoutView="0" workbookViewId="0" topLeftCell="A4">
      <selection activeCell="B19" sqref="B19:D20"/>
    </sheetView>
  </sheetViews>
  <sheetFormatPr defaultColWidth="9.140625" defaultRowHeight="15"/>
  <cols>
    <col min="1" max="1" width="6.00390625" style="513" customWidth="1"/>
    <col min="2" max="2" width="20.421875" style="513" customWidth="1"/>
    <col min="3" max="6" width="16.421875" style="513" customWidth="1"/>
    <col min="7" max="16384" width="9.140625" style="513" customWidth="1"/>
  </cols>
  <sheetData>
    <row r="2" spans="1:6" ht="15">
      <c r="A2" s="555" t="s">
        <v>1308</v>
      </c>
      <c r="B2" s="571"/>
      <c r="C2" s="571"/>
      <c r="D2" s="571"/>
      <c r="E2" s="571"/>
      <c r="F2" s="566"/>
    </row>
    <row r="3" spans="1:6" ht="15">
      <c r="A3" s="549" t="str">
        <f>Титульный!$B$10</f>
        <v>ООО "Дирекция Голицыно-3"</v>
      </c>
      <c r="B3" s="565"/>
      <c r="C3" s="565"/>
      <c r="D3" s="565"/>
      <c r="E3" s="565"/>
      <c r="F3" s="572"/>
    </row>
    <row r="4" spans="1:6" ht="15">
      <c r="A4" s="551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573"/>
      <c r="C4" s="573"/>
      <c r="D4" s="573"/>
      <c r="E4" s="573"/>
      <c r="F4" s="572"/>
    </row>
    <row r="5" spans="1:6" ht="15">
      <c r="A5" s="556" t="s">
        <v>422</v>
      </c>
      <c r="B5" s="566"/>
      <c r="C5" s="566"/>
      <c r="D5" s="566"/>
      <c r="E5" s="566"/>
      <c r="F5" s="566"/>
    </row>
    <row r="6" spans="1:6" ht="15">
      <c r="A6" s="558"/>
      <c r="B6" s="558"/>
      <c r="C6" s="558"/>
      <c r="D6" s="558"/>
      <c r="E6" s="558"/>
      <c r="F6" s="558"/>
    </row>
    <row r="7" spans="1:6" ht="23.25" customHeight="1">
      <c r="A7" s="1566" t="s">
        <v>3</v>
      </c>
      <c r="B7" s="1566" t="s">
        <v>423</v>
      </c>
      <c r="C7" s="58" t="s">
        <v>424</v>
      </c>
      <c r="D7" s="58" t="s">
        <v>425</v>
      </c>
      <c r="E7" s="58" t="s">
        <v>426</v>
      </c>
      <c r="F7" s="58" t="s">
        <v>427</v>
      </c>
    </row>
    <row r="8" spans="1:6" ht="15">
      <c r="A8" s="1566"/>
      <c r="B8" s="1566"/>
      <c r="C8" s="616" t="s">
        <v>50</v>
      </c>
      <c r="D8" s="552" t="s">
        <v>428</v>
      </c>
      <c r="E8" s="611" t="s">
        <v>46</v>
      </c>
      <c r="F8" s="611" t="s">
        <v>46</v>
      </c>
    </row>
    <row r="9" spans="1:6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6" ht="15" hidden="1">
      <c r="A10" s="21">
        <v>0</v>
      </c>
      <c r="B10" s="9"/>
      <c r="C10" s="9"/>
      <c r="D10" s="9"/>
      <c r="E10" s="9"/>
      <c r="F10" s="9"/>
    </row>
    <row r="11" spans="1:6" ht="22.5">
      <c r="A11" s="849">
        <f>ROW(A1)</f>
        <v>1</v>
      </c>
      <c r="B11" s="230" t="s">
        <v>1030</v>
      </c>
      <c r="C11" s="225">
        <f>460000/1.18</f>
        <v>389830.5084745763</v>
      </c>
      <c r="D11" s="225">
        <v>1</v>
      </c>
      <c r="E11" s="46">
        <f>C11*D11/1000</f>
        <v>389.8305084745763</v>
      </c>
      <c r="F11" s="46">
        <f>E11*1.18</f>
        <v>460</v>
      </c>
    </row>
    <row r="12" spans="1:6" ht="15">
      <c r="A12" s="849">
        <f>ROW(A2)</f>
        <v>2</v>
      </c>
      <c r="B12" s="852"/>
      <c r="C12" s="853"/>
      <c r="D12" s="225"/>
      <c r="E12" s="46">
        <f>C12*D12/1000</f>
        <v>0</v>
      </c>
      <c r="F12" s="46">
        <f>E12*1.18</f>
        <v>0</v>
      </c>
    </row>
    <row r="13" spans="1:6" ht="15">
      <c r="A13" s="849">
        <f>ROW(A3)</f>
        <v>3</v>
      </c>
      <c r="B13" s="852"/>
      <c r="C13" s="853"/>
      <c r="D13" s="225"/>
      <c r="E13" s="46">
        <f>C13*D13/1000</f>
        <v>0</v>
      </c>
      <c r="F13" s="46">
        <f>E13*1.18</f>
        <v>0</v>
      </c>
    </row>
    <row r="14" spans="1:6" ht="15.75" customHeight="1">
      <c r="A14" s="15"/>
      <c r="B14" s="840" t="s">
        <v>802</v>
      </c>
      <c r="C14" s="841"/>
      <c r="D14" s="15"/>
      <c r="E14" s="32"/>
      <c r="F14" s="32"/>
    </row>
    <row r="15" spans="1:6" ht="15">
      <c r="A15" s="18"/>
      <c r="B15" s="14" t="s">
        <v>339</v>
      </c>
      <c r="C15" s="10"/>
      <c r="D15" s="10"/>
      <c r="E15" s="46">
        <f>SUM(E10:E14)</f>
        <v>389.8305084745763</v>
      </c>
      <c r="F15" s="46">
        <f>SUM(F10:F14)</f>
        <v>460</v>
      </c>
    </row>
    <row r="16" spans="1:6" ht="15">
      <c r="A16" s="558"/>
      <c r="B16" s="558"/>
      <c r="C16" s="558"/>
      <c r="D16" s="558"/>
      <c r="E16" s="558"/>
      <c r="F16" s="558"/>
    </row>
    <row r="17" spans="1:6" ht="15">
      <c r="A17" s="556" t="s">
        <v>429</v>
      </c>
      <c r="B17" s="566"/>
      <c r="C17" s="566"/>
      <c r="D17" s="566"/>
      <c r="E17" s="566"/>
      <c r="F17" s="566"/>
    </row>
    <row r="18" spans="1:6" ht="15">
      <c r="A18" s="558"/>
      <c r="B18" s="558"/>
      <c r="C18" s="558"/>
      <c r="D18" s="558"/>
      <c r="E18" s="558"/>
      <c r="F18" s="558"/>
    </row>
    <row r="19" spans="1:6" ht="37.5" customHeight="1">
      <c r="A19" s="1566" t="s">
        <v>3</v>
      </c>
      <c r="B19" s="1566" t="s">
        <v>430</v>
      </c>
      <c r="C19" s="1566"/>
      <c r="D19" s="1566"/>
      <c r="E19" s="58" t="s">
        <v>431</v>
      </c>
      <c r="F19" s="58" t="s">
        <v>432</v>
      </c>
    </row>
    <row r="20" spans="1:6" ht="15">
      <c r="A20" s="1566"/>
      <c r="B20" s="1566"/>
      <c r="C20" s="1566"/>
      <c r="D20" s="1566"/>
      <c r="E20" s="611" t="s">
        <v>46</v>
      </c>
      <c r="F20" s="611" t="s">
        <v>46</v>
      </c>
    </row>
    <row r="21" spans="1:6" ht="15" customHeight="1">
      <c r="A21" s="9">
        <v>1</v>
      </c>
      <c r="B21" s="1593">
        <v>2</v>
      </c>
      <c r="C21" s="1593"/>
      <c r="D21" s="1593"/>
      <c r="E21" s="9">
        <v>3</v>
      </c>
      <c r="F21" s="9">
        <v>4</v>
      </c>
    </row>
    <row r="22" spans="1:6" ht="15" hidden="1">
      <c r="A22" s="21">
        <v>0</v>
      </c>
      <c r="B22" s="9"/>
      <c r="C22" s="9"/>
      <c r="D22" s="9"/>
      <c r="E22" s="9"/>
      <c r="F22" s="9"/>
    </row>
    <row r="23" spans="1:6" ht="15">
      <c r="A23" s="849">
        <f>ROW(A1)</f>
        <v>1</v>
      </c>
      <c r="B23" s="856"/>
      <c r="C23" s="968"/>
      <c r="D23" s="969"/>
      <c r="E23" s="299"/>
      <c r="F23" s="46">
        <f>E23*1.18</f>
        <v>0</v>
      </c>
    </row>
    <row r="24" spans="1:6" ht="15">
      <c r="A24" s="849">
        <f>ROW(A2)</f>
        <v>2</v>
      </c>
      <c r="B24" s="856"/>
      <c r="C24" s="968"/>
      <c r="D24" s="969"/>
      <c r="E24" s="299"/>
      <c r="F24" s="46">
        <f>E24*1.18</f>
        <v>0</v>
      </c>
    </row>
    <row r="25" spans="1:6" ht="15">
      <c r="A25" s="849">
        <f>ROW(A3)</f>
        <v>3</v>
      </c>
      <c r="B25" s="856"/>
      <c r="C25" s="968"/>
      <c r="D25" s="969"/>
      <c r="E25" s="299"/>
      <c r="F25" s="46">
        <f>E25*1.18</f>
        <v>0</v>
      </c>
    </row>
    <row r="26" spans="1:6" ht="15">
      <c r="A26" s="15"/>
      <c r="B26" s="840" t="s">
        <v>802</v>
      </c>
      <c r="C26" s="842"/>
      <c r="D26" s="841"/>
      <c r="E26" s="47"/>
      <c r="F26" s="47"/>
    </row>
    <row r="27" spans="1:6" ht="15">
      <c r="A27" s="18"/>
      <c r="B27" s="970" t="s">
        <v>339</v>
      </c>
      <c r="C27" s="971"/>
      <c r="D27" s="972"/>
      <c r="E27" s="25">
        <f>SUM(E22:E26)</f>
        <v>0</v>
      </c>
      <c r="F27" s="25">
        <f>SUM(F22:F26)</f>
        <v>0</v>
      </c>
    </row>
    <row r="28" spans="1:6" ht="15">
      <c r="A28" s="3"/>
      <c r="B28" s="4"/>
      <c r="C28" s="4"/>
      <c r="D28" s="4"/>
      <c r="E28" s="5"/>
      <c r="F28" s="6"/>
    </row>
    <row r="29" spans="1:6" ht="15">
      <c r="A29" s="558"/>
      <c r="B29" s="558"/>
      <c r="C29" s="558"/>
      <c r="D29" s="558"/>
      <c r="E29" s="558"/>
      <c r="F29" s="558"/>
    </row>
    <row r="30" spans="1:6" ht="15">
      <c r="A30" s="567" t="s">
        <v>433</v>
      </c>
      <c r="B30" s="614"/>
      <c r="C30" s="614"/>
      <c r="D30" s="614"/>
      <c r="E30" s="614"/>
      <c r="F30" s="566"/>
    </row>
    <row r="31" spans="1:6" ht="15">
      <c r="A31" s="566"/>
      <c r="B31" s="566"/>
      <c r="C31" s="566"/>
      <c r="D31" s="566"/>
      <c r="E31" s="566"/>
      <c r="F31" s="566"/>
    </row>
    <row r="32" spans="1:6" ht="15">
      <c r="A32" s="564" t="s">
        <v>350</v>
      </c>
      <c r="B32" s="565"/>
      <c r="C32" s="566"/>
      <c r="D32" s="566"/>
      <c r="E32" s="567"/>
      <c r="F32" s="566"/>
    </row>
    <row r="33" spans="1:6" ht="15">
      <c r="A33" s="565"/>
      <c r="B33" s="566"/>
      <c r="C33" s="566"/>
      <c r="D33" s="566"/>
      <c r="E33" s="566"/>
      <c r="F33" s="566"/>
    </row>
    <row r="34" spans="1:6" ht="15">
      <c r="A34" s="886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  <c r="B34" s="568"/>
      <c r="C34" s="566"/>
      <c r="D34" s="566"/>
      <c r="E34" s="566"/>
      <c r="F34" s="566"/>
    </row>
    <row r="35" spans="2:6" ht="15">
      <c r="B35" s="1008" t="s">
        <v>219</v>
      </c>
      <c r="C35" s="566"/>
      <c r="D35" s="566"/>
      <c r="E35" s="566"/>
      <c r="F35" s="566"/>
    </row>
  </sheetData>
  <sheetProtection password="CF72" sheet="1" objects="1" scenarios="1"/>
  <mergeCells count="5">
    <mergeCell ref="A19:A20"/>
    <mergeCell ref="B19:D20"/>
    <mergeCell ref="B21:D21"/>
    <mergeCell ref="A7:A8"/>
    <mergeCell ref="B7:B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11:B13 B23:B25 C23:D23">
      <formula1>900</formula1>
    </dataValidation>
    <dataValidation type="decimal" allowBlank="1" showErrorMessage="1" errorTitle="Ошибка" error="Допускается ввод только неотрицательных чисел!" sqref="C11:D13 E23:E25">
      <formula1>0</formula1>
      <formula2>9.99999999999999E+23</formula2>
    </dataValidation>
  </dataValidations>
  <printOptions/>
  <pageMargins left="0.22" right="0.17" top="0.32" bottom="0.25" header="0.2" footer="0.17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2:W47"/>
  <sheetViews>
    <sheetView zoomScalePageLayoutView="0" workbookViewId="0" topLeftCell="M10">
      <selection activeCell="S31" sqref="S31:U31"/>
    </sheetView>
  </sheetViews>
  <sheetFormatPr defaultColWidth="9.140625" defaultRowHeight="15"/>
  <cols>
    <col min="1" max="1" width="6.421875" style="513" customWidth="1"/>
    <col min="2" max="2" width="22.421875" style="513" customWidth="1"/>
    <col min="3" max="6" width="10.140625" style="513" customWidth="1"/>
    <col min="7" max="7" width="12.421875" style="513" customWidth="1"/>
    <col min="8" max="8" width="11.8515625" style="513" customWidth="1"/>
    <col min="9" max="9" width="16.421875" style="513" customWidth="1"/>
    <col min="10" max="10" width="15.421875" style="513" customWidth="1"/>
    <col min="11" max="11" width="17.00390625" style="513" customWidth="1"/>
    <col min="12" max="14" width="16.57421875" style="513" customWidth="1"/>
    <col min="15" max="15" width="16.57421875" style="630" customWidth="1"/>
    <col min="16" max="16" width="11.8515625" style="513" customWidth="1"/>
    <col min="17" max="17" width="16.421875" style="513" customWidth="1"/>
    <col min="18" max="18" width="15.421875" style="513" customWidth="1"/>
    <col min="19" max="19" width="17.00390625" style="513" customWidth="1"/>
    <col min="20" max="22" width="16.57421875" style="513" customWidth="1"/>
    <col min="23" max="23" width="16.57421875" style="630" customWidth="1"/>
    <col min="24" max="16384" width="9.140625" style="513" customWidth="1"/>
  </cols>
  <sheetData>
    <row r="2" spans="1:23" ht="15">
      <c r="A2" s="555" t="s">
        <v>1309</v>
      </c>
      <c r="B2" s="555"/>
      <c r="C2" s="555"/>
      <c r="D2" s="555"/>
      <c r="E2" s="555"/>
      <c r="F2" s="556"/>
      <c r="G2" s="556"/>
      <c r="H2" s="617"/>
      <c r="I2" s="617"/>
      <c r="J2" s="617"/>
      <c r="K2" s="617"/>
      <c r="L2" s="617"/>
      <c r="M2" s="617"/>
      <c r="N2" s="617"/>
      <c r="O2" s="618"/>
      <c r="P2" s="617"/>
      <c r="Q2" s="617"/>
      <c r="R2" s="617"/>
      <c r="S2" s="617"/>
      <c r="T2" s="617"/>
      <c r="U2" s="617"/>
      <c r="V2" s="617"/>
      <c r="W2" s="618"/>
    </row>
    <row r="3" spans="1:23" ht="15">
      <c r="A3" s="549" t="str">
        <f>Титульный!$B$10</f>
        <v>ООО "Дирекция Голицыно-3"</v>
      </c>
      <c r="B3" s="619"/>
      <c r="C3" s="619"/>
      <c r="D3" s="619"/>
      <c r="E3" s="619"/>
      <c r="F3" s="600"/>
      <c r="G3" s="600"/>
      <c r="H3" s="617"/>
      <c r="I3" s="617"/>
      <c r="J3" s="586"/>
      <c r="K3" s="617"/>
      <c r="L3" s="617"/>
      <c r="M3" s="617"/>
      <c r="N3" s="617"/>
      <c r="O3" s="618"/>
      <c r="P3" s="617"/>
      <c r="Q3" s="617"/>
      <c r="R3" s="586"/>
      <c r="S3" s="617"/>
      <c r="T3" s="617"/>
      <c r="U3" s="617"/>
      <c r="V3" s="617"/>
      <c r="W3" s="618"/>
    </row>
    <row r="4" spans="1:23" ht="15">
      <c r="A4" s="551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620"/>
      <c r="C4" s="620"/>
      <c r="D4" s="620"/>
      <c r="E4" s="620"/>
      <c r="F4" s="600"/>
      <c r="G4" s="600"/>
      <c r="H4" s="617"/>
      <c r="I4" s="617"/>
      <c r="J4" s="617"/>
      <c r="K4" s="617"/>
      <c r="L4" s="617"/>
      <c r="M4" s="617"/>
      <c r="N4" s="617"/>
      <c r="O4" s="618"/>
      <c r="P4" s="617"/>
      <c r="Q4" s="617"/>
      <c r="R4" s="617"/>
      <c r="S4" s="617"/>
      <c r="T4" s="617"/>
      <c r="U4" s="617"/>
      <c r="V4" s="617"/>
      <c r="W4" s="618"/>
    </row>
    <row r="5" spans="1:23" ht="15">
      <c r="A5" s="621"/>
      <c r="B5" s="621"/>
      <c r="C5" s="621"/>
      <c r="D5" s="621"/>
      <c r="E5" s="621"/>
      <c r="F5" s="621"/>
      <c r="G5" s="621"/>
      <c r="H5" s="621"/>
      <c r="I5" s="610"/>
      <c r="J5" s="621"/>
      <c r="K5" s="621"/>
      <c r="L5" s="621"/>
      <c r="M5" s="621"/>
      <c r="N5" s="621"/>
      <c r="O5" s="622"/>
      <c r="P5" s="621"/>
      <c r="Q5" s="610"/>
      <c r="R5" s="621"/>
      <c r="S5" s="621"/>
      <c r="T5" s="621"/>
      <c r="U5" s="621"/>
      <c r="V5" s="621"/>
      <c r="W5" s="622"/>
    </row>
    <row r="6" spans="1:23" ht="15">
      <c r="A6" s="1594" t="s">
        <v>3</v>
      </c>
      <c r="B6" s="1594" t="s">
        <v>442</v>
      </c>
      <c r="C6" s="1594" t="s">
        <v>443</v>
      </c>
      <c r="D6" s="1594" t="s">
        <v>444</v>
      </c>
      <c r="E6" s="1594" t="s">
        <v>445</v>
      </c>
      <c r="F6" s="1594" t="s">
        <v>446</v>
      </c>
      <c r="G6" s="1594"/>
      <c r="H6" s="1594" t="s">
        <v>447</v>
      </c>
      <c r="I6" s="1594" t="s">
        <v>448</v>
      </c>
      <c r="J6" s="1595" t="s">
        <v>1289</v>
      </c>
      <c r="K6" s="1595"/>
      <c r="L6" s="1595"/>
      <c r="M6" s="1595"/>
      <c r="N6" s="1595"/>
      <c r="O6" s="1595"/>
      <c r="P6" s="1594" t="s">
        <v>447</v>
      </c>
      <c r="Q6" s="1594" t="s">
        <v>448</v>
      </c>
      <c r="R6" s="1595" t="s">
        <v>1290</v>
      </c>
      <c r="S6" s="1595"/>
      <c r="T6" s="1595"/>
      <c r="U6" s="1595"/>
      <c r="V6" s="1595"/>
      <c r="W6" s="1595"/>
    </row>
    <row r="7" spans="1:23" ht="15">
      <c r="A7" s="1594"/>
      <c r="B7" s="1594"/>
      <c r="C7" s="1594"/>
      <c r="D7" s="1594"/>
      <c r="E7" s="1594"/>
      <c r="F7" s="1594"/>
      <c r="G7" s="1594"/>
      <c r="H7" s="1594"/>
      <c r="I7" s="1594"/>
      <c r="J7" s="1594" t="s">
        <v>449</v>
      </c>
      <c r="K7" s="1594" t="s">
        <v>450</v>
      </c>
      <c r="L7" s="1594"/>
      <c r="M7" s="1596"/>
      <c r="N7" s="1597"/>
      <c r="O7" s="1597"/>
      <c r="P7" s="1594"/>
      <c r="Q7" s="1594"/>
      <c r="R7" s="1594" t="s">
        <v>449</v>
      </c>
      <c r="S7" s="1594" t="s">
        <v>450</v>
      </c>
      <c r="T7" s="1594"/>
      <c r="U7" s="1596"/>
      <c r="V7" s="1597"/>
      <c r="W7" s="1597"/>
    </row>
    <row r="8" spans="1:23" ht="67.5" customHeight="1">
      <c r="A8" s="1594"/>
      <c r="B8" s="1594"/>
      <c r="C8" s="1594"/>
      <c r="D8" s="1594"/>
      <c r="E8" s="1594"/>
      <c r="F8" s="1585" t="s">
        <v>451</v>
      </c>
      <c r="G8" s="1585" t="s">
        <v>452</v>
      </c>
      <c r="H8" s="1594"/>
      <c r="I8" s="1594"/>
      <c r="J8" s="1585"/>
      <c r="K8" s="623" t="s">
        <v>453</v>
      </c>
      <c r="L8" s="623" t="s">
        <v>454</v>
      </c>
      <c r="M8" s="623" t="s">
        <v>455</v>
      </c>
      <c r="N8" s="623" t="s">
        <v>456</v>
      </c>
      <c r="O8" s="624" t="s">
        <v>457</v>
      </c>
      <c r="P8" s="1594"/>
      <c r="Q8" s="1594"/>
      <c r="R8" s="1585"/>
      <c r="S8" s="1109" t="s">
        <v>453</v>
      </c>
      <c r="T8" s="1109" t="s">
        <v>454</v>
      </c>
      <c r="U8" s="1109" t="s">
        <v>455</v>
      </c>
      <c r="V8" s="1109" t="s">
        <v>456</v>
      </c>
      <c r="W8" s="624" t="s">
        <v>457</v>
      </c>
    </row>
    <row r="9" spans="1:23" ht="15">
      <c r="A9" s="1594"/>
      <c r="B9" s="1594"/>
      <c r="C9" s="1594"/>
      <c r="D9" s="1594"/>
      <c r="E9" s="1594"/>
      <c r="F9" s="1585"/>
      <c r="G9" s="1585"/>
      <c r="H9" s="599" t="s">
        <v>458</v>
      </c>
      <c r="I9" s="599" t="s">
        <v>459</v>
      </c>
      <c r="J9" s="599" t="s">
        <v>458</v>
      </c>
      <c r="K9" s="599" t="s">
        <v>458</v>
      </c>
      <c r="L9" s="599" t="s">
        <v>458</v>
      </c>
      <c r="M9" s="599" t="s">
        <v>458</v>
      </c>
      <c r="N9" s="599" t="s">
        <v>458</v>
      </c>
      <c r="O9" s="625" t="s">
        <v>458</v>
      </c>
      <c r="P9" s="1108" t="s">
        <v>458</v>
      </c>
      <c r="Q9" s="1108" t="s">
        <v>459</v>
      </c>
      <c r="R9" s="1108" t="s">
        <v>458</v>
      </c>
      <c r="S9" s="1108" t="s">
        <v>458</v>
      </c>
      <c r="T9" s="1108" t="s">
        <v>458</v>
      </c>
      <c r="U9" s="1108" t="s">
        <v>458</v>
      </c>
      <c r="V9" s="1108" t="s">
        <v>458</v>
      </c>
      <c r="W9" s="625" t="s">
        <v>458</v>
      </c>
    </row>
    <row r="10" spans="1:23" ht="1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  <c r="Q10" s="9">
        <v>17</v>
      </c>
      <c r="R10" s="9">
        <v>18</v>
      </c>
      <c r="S10" s="9">
        <v>19</v>
      </c>
      <c r="T10" s="9">
        <v>20</v>
      </c>
      <c r="U10" s="9">
        <v>21</v>
      </c>
      <c r="V10" s="9">
        <v>22</v>
      </c>
      <c r="W10" s="9">
        <v>23</v>
      </c>
    </row>
    <row r="11" spans="1:23" ht="15">
      <c r="A11" s="48">
        <v>1</v>
      </c>
      <c r="B11" s="49" t="s">
        <v>460</v>
      </c>
      <c r="C11" s="50"/>
      <c r="D11" s="50"/>
      <c r="E11" s="50"/>
      <c r="F11" s="50"/>
      <c r="G11" s="50"/>
      <c r="H11" s="50"/>
      <c r="I11" s="50"/>
      <c r="J11" s="12">
        <f aca="true" t="shared" si="0" ref="J11:O11">SUM(J12:J16)</f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29">
        <f t="shared" si="0"/>
        <v>0</v>
      </c>
      <c r="P11" s="50"/>
      <c r="Q11" s="50"/>
      <c r="R11" s="12">
        <f aca="true" t="shared" si="1" ref="R11:W11">SUM(R12:R16)</f>
        <v>0</v>
      </c>
      <c r="S11" s="12">
        <f t="shared" si="1"/>
        <v>0</v>
      </c>
      <c r="T11" s="12">
        <f t="shared" si="1"/>
        <v>0</v>
      </c>
      <c r="U11" s="12">
        <f t="shared" si="1"/>
        <v>0</v>
      </c>
      <c r="V11" s="12">
        <f t="shared" si="1"/>
        <v>0</v>
      </c>
      <c r="W11" s="29">
        <f t="shared" si="1"/>
        <v>0</v>
      </c>
    </row>
    <row r="12" spans="1:23" ht="15" hidden="1">
      <c r="A12" s="51" t="s">
        <v>332</v>
      </c>
      <c r="B12" s="49"/>
      <c r="C12" s="50"/>
      <c r="D12" s="50"/>
      <c r="E12" s="50"/>
      <c r="F12" s="50"/>
      <c r="G12" s="50"/>
      <c r="H12" s="50"/>
      <c r="I12" s="50"/>
      <c r="J12" s="52"/>
      <c r="K12" s="626"/>
      <c r="L12" s="626"/>
      <c r="M12" s="626"/>
      <c r="N12" s="626"/>
      <c r="O12" s="298">
        <f>J12-K12-M12-N12</f>
        <v>0</v>
      </c>
      <c r="P12" s="50"/>
      <c r="Q12" s="50"/>
      <c r="R12" s="52"/>
      <c r="S12" s="626"/>
      <c r="T12" s="626"/>
      <c r="U12" s="626"/>
      <c r="V12" s="626"/>
      <c r="W12" s="298">
        <f>R12-S12-U12-V12</f>
        <v>0</v>
      </c>
    </row>
    <row r="13" spans="1:23" ht="15">
      <c r="A13" s="849" t="str">
        <f>A$11&amp;"."&amp;ROW(A1)</f>
        <v>1.1</v>
      </c>
      <c r="B13" s="281"/>
      <c r="C13" s="282"/>
      <c r="D13" s="283"/>
      <c r="E13" s="283"/>
      <c r="F13" s="282"/>
      <c r="G13" s="282"/>
      <c r="H13" s="284"/>
      <c r="I13" s="284"/>
      <c r="J13" s="25">
        <f>H13*I13</f>
        <v>0</v>
      </c>
      <c r="K13" s="297"/>
      <c r="L13" s="297"/>
      <c r="M13" s="297"/>
      <c r="N13" s="297"/>
      <c r="O13" s="298">
        <f>J13-K13-M13-N13</f>
        <v>0</v>
      </c>
      <c r="P13" s="284"/>
      <c r="Q13" s="284"/>
      <c r="R13" s="25">
        <f>P13*Q13</f>
        <v>0</v>
      </c>
      <c r="S13" s="297"/>
      <c r="T13" s="297"/>
      <c r="U13" s="297"/>
      <c r="V13" s="297"/>
      <c r="W13" s="298">
        <f>R13-S13-U13-V13</f>
        <v>0</v>
      </c>
    </row>
    <row r="14" spans="1:23" ht="15">
      <c r="A14" s="849" t="str">
        <f>A$11&amp;"."&amp;ROW(A2)</f>
        <v>1.2</v>
      </c>
      <c r="B14" s="281"/>
      <c r="C14" s="282"/>
      <c r="D14" s="283"/>
      <c r="E14" s="283"/>
      <c r="F14" s="282"/>
      <c r="G14" s="282"/>
      <c r="H14" s="284"/>
      <c r="I14" s="284"/>
      <c r="J14" s="25">
        <f>H14*I14</f>
        <v>0</v>
      </c>
      <c r="K14" s="297"/>
      <c r="L14" s="297"/>
      <c r="M14" s="297"/>
      <c r="N14" s="297"/>
      <c r="O14" s="298">
        <f>J14-K14-M14-N14</f>
        <v>0</v>
      </c>
      <c r="P14" s="284"/>
      <c r="Q14" s="284"/>
      <c r="R14" s="25">
        <f>P14*Q14</f>
        <v>0</v>
      </c>
      <c r="S14" s="297"/>
      <c r="T14" s="297"/>
      <c r="U14" s="297"/>
      <c r="V14" s="297"/>
      <c r="W14" s="298">
        <f>R14-S14-U14-V14</f>
        <v>0</v>
      </c>
    </row>
    <row r="15" spans="1:23" ht="15">
      <c r="A15" s="849" t="str">
        <f>A$11&amp;"."&amp;ROW(A3)</f>
        <v>1.3</v>
      </c>
      <c r="B15" s="281"/>
      <c r="C15" s="282"/>
      <c r="D15" s="283"/>
      <c r="E15" s="283"/>
      <c r="F15" s="282"/>
      <c r="G15" s="282"/>
      <c r="H15" s="284"/>
      <c r="I15" s="284"/>
      <c r="J15" s="25">
        <f>H15*I15</f>
        <v>0</v>
      </c>
      <c r="K15" s="297"/>
      <c r="L15" s="297"/>
      <c r="M15" s="297"/>
      <c r="N15" s="297"/>
      <c r="O15" s="298">
        <f>J15-K15-M15-N15</f>
        <v>0</v>
      </c>
      <c r="P15" s="284"/>
      <c r="Q15" s="284"/>
      <c r="R15" s="25">
        <f>P15*Q15</f>
        <v>0</v>
      </c>
      <c r="S15" s="297"/>
      <c r="T15" s="297"/>
      <c r="U15" s="297"/>
      <c r="V15" s="297"/>
      <c r="W15" s="298">
        <f>R15-S15-U15-V15</f>
        <v>0</v>
      </c>
    </row>
    <row r="16" spans="1:23" ht="15">
      <c r="A16" s="847"/>
      <c r="B16" s="16" t="s">
        <v>803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32"/>
      <c r="P16" s="15"/>
      <c r="Q16" s="15"/>
      <c r="R16" s="15"/>
      <c r="S16" s="15"/>
      <c r="T16" s="15"/>
      <c r="U16" s="15"/>
      <c r="V16" s="15"/>
      <c r="W16" s="32"/>
    </row>
    <row r="17" spans="1:23" ht="15">
      <c r="A17" s="857">
        <v>2</v>
      </c>
      <c r="B17" s="49" t="s">
        <v>461</v>
      </c>
      <c r="C17" s="50"/>
      <c r="D17" s="50"/>
      <c r="E17" s="50"/>
      <c r="F17" s="50"/>
      <c r="G17" s="50"/>
      <c r="H17" s="50"/>
      <c r="I17" s="50"/>
      <c r="J17" s="12">
        <f aca="true" t="shared" si="2" ref="J17:O17">SUM(J18:J22)</f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29">
        <f t="shared" si="2"/>
        <v>0</v>
      </c>
      <c r="P17" s="50"/>
      <c r="Q17" s="50"/>
      <c r="R17" s="12">
        <f aca="true" t="shared" si="3" ref="R17:W17">SUM(R18:R22)</f>
        <v>0</v>
      </c>
      <c r="S17" s="12">
        <f t="shared" si="3"/>
        <v>0</v>
      </c>
      <c r="T17" s="12">
        <f t="shared" si="3"/>
        <v>0</v>
      </c>
      <c r="U17" s="12">
        <f t="shared" si="3"/>
        <v>0</v>
      </c>
      <c r="V17" s="12">
        <f t="shared" si="3"/>
        <v>0</v>
      </c>
      <c r="W17" s="29">
        <f t="shared" si="3"/>
        <v>0</v>
      </c>
    </row>
    <row r="18" spans="1:23" ht="15" hidden="1">
      <c r="A18" s="858" t="s">
        <v>334</v>
      </c>
      <c r="B18" s="49"/>
      <c r="C18" s="50"/>
      <c r="D18" s="50"/>
      <c r="E18" s="50"/>
      <c r="F18" s="50"/>
      <c r="G18" s="50"/>
      <c r="H18" s="50"/>
      <c r="I18" s="50"/>
      <c r="J18" s="52"/>
      <c r="K18" s="626"/>
      <c r="L18" s="626"/>
      <c r="M18" s="626"/>
      <c r="N18" s="626"/>
      <c r="O18" s="298">
        <f>J18-K18-M18-N18</f>
        <v>0</v>
      </c>
      <c r="P18" s="50"/>
      <c r="Q18" s="50"/>
      <c r="R18" s="52"/>
      <c r="S18" s="626"/>
      <c r="T18" s="626"/>
      <c r="U18" s="626"/>
      <c r="V18" s="626"/>
      <c r="W18" s="298">
        <f>R18-S18-U18-V18</f>
        <v>0</v>
      </c>
    </row>
    <row r="19" spans="1:23" ht="15">
      <c r="A19" s="849" t="str">
        <f>A$17&amp;"."&amp;ROW(A1)</f>
        <v>2.1</v>
      </c>
      <c r="B19" s="281"/>
      <c r="C19" s="282"/>
      <c r="D19" s="283"/>
      <c r="E19" s="283"/>
      <c r="F19" s="282"/>
      <c r="G19" s="282"/>
      <c r="H19" s="284"/>
      <c r="I19" s="284"/>
      <c r="J19" s="25">
        <f>H19*I19</f>
        <v>0</v>
      </c>
      <c r="K19" s="297"/>
      <c r="L19" s="297"/>
      <c r="M19" s="297"/>
      <c r="N19" s="297"/>
      <c r="O19" s="298">
        <f>J19-K19-M19-N19</f>
        <v>0</v>
      </c>
      <c r="P19" s="284"/>
      <c r="Q19" s="284"/>
      <c r="R19" s="25">
        <f>P19*Q19</f>
        <v>0</v>
      </c>
      <c r="S19" s="297"/>
      <c r="T19" s="297"/>
      <c r="U19" s="297"/>
      <c r="V19" s="297"/>
      <c r="W19" s="298">
        <f>R19-S19-U19-V19</f>
        <v>0</v>
      </c>
    </row>
    <row r="20" spans="1:23" ht="15">
      <c r="A20" s="849" t="str">
        <f>A$17&amp;"."&amp;ROW(A2)</f>
        <v>2.2</v>
      </c>
      <c r="B20" s="281"/>
      <c r="C20" s="282"/>
      <c r="D20" s="283"/>
      <c r="E20" s="283"/>
      <c r="F20" s="282"/>
      <c r="G20" s="282"/>
      <c r="H20" s="284"/>
      <c r="I20" s="284"/>
      <c r="J20" s="25">
        <f>H20*I20</f>
        <v>0</v>
      </c>
      <c r="K20" s="297"/>
      <c r="L20" s="297"/>
      <c r="M20" s="297"/>
      <c r="N20" s="297"/>
      <c r="O20" s="298">
        <f>J20-K20-M20-N20</f>
        <v>0</v>
      </c>
      <c r="P20" s="284"/>
      <c r="Q20" s="284"/>
      <c r="R20" s="25">
        <f>P20*Q20</f>
        <v>0</v>
      </c>
      <c r="S20" s="297"/>
      <c r="T20" s="297"/>
      <c r="U20" s="297"/>
      <c r="V20" s="297"/>
      <c r="W20" s="298">
        <f>R20-S20-U20-V20</f>
        <v>0</v>
      </c>
    </row>
    <row r="21" spans="1:23" ht="15">
      <c r="A21" s="849" t="str">
        <f>A$17&amp;"."&amp;ROW(A3)</f>
        <v>2.3</v>
      </c>
      <c r="B21" s="281"/>
      <c r="C21" s="282"/>
      <c r="D21" s="283"/>
      <c r="E21" s="283"/>
      <c r="F21" s="282"/>
      <c r="G21" s="282"/>
      <c r="H21" s="284"/>
      <c r="I21" s="284"/>
      <c r="J21" s="25">
        <f>H21*I21</f>
        <v>0</v>
      </c>
      <c r="K21" s="297"/>
      <c r="L21" s="297"/>
      <c r="M21" s="297"/>
      <c r="N21" s="297"/>
      <c r="O21" s="298">
        <f>J21-K21-M21-N21</f>
        <v>0</v>
      </c>
      <c r="P21" s="284"/>
      <c r="Q21" s="284"/>
      <c r="R21" s="25">
        <f>P21*Q21</f>
        <v>0</v>
      </c>
      <c r="S21" s="297"/>
      <c r="T21" s="297"/>
      <c r="U21" s="297"/>
      <c r="V21" s="297"/>
      <c r="W21" s="298">
        <f>R21-S21-U21-V21</f>
        <v>0</v>
      </c>
    </row>
    <row r="22" spans="1:23" ht="15">
      <c r="A22" s="847"/>
      <c r="B22" s="16" t="s">
        <v>803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32"/>
      <c r="P22" s="15"/>
      <c r="Q22" s="15"/>
      <c r="R22" s="15"/>
      <c r="S22" s="15"/>
      <c r="T22" s="15"/>
      <c r="U22" s="15"/>
      <c r="V22" s="15"/>
      <c r="W22" s="32"/>
    </row>
    <row r="23" spans="1:23" ht="15">
      <c r="A23" s="857">
        <v>3</v>
      </c>
      <c r="B23" s="49" t="s">
        <v>462</v>
      </c>
      <c r="C23" s="50"/>
      <c r="D23" s="50"/>
      <c r="E23" s="50"/>
      <c r="F23" s="50"/>
      <c r="G23" s="50"/>
      <c r="H23" s="50"/>
      <c r="I23" s="50"/>
      <c r="J23" s="12">
        <f aca="true" t="shared" si="4" ref="J23:O23">SUM(J24:J28)</f>
        <v>0</v>
      </c>
      <c r="K23" s="12">
        <f t="shared" si="4"/>
        <v>0</v>
      </c>
      <c r="L23" s="12">
        <f t="shared" si="4"/>
        <v>0</v>
      </c>
      <c r="M23" s="12">
        <f t="shared" si="4"/>
        <v>0</v>
      </c>
      <c r="N23" s="12">
        <f t="shared" si="4"/>
        <v>0</v>
      </c>
      <c r="O23" s="29">
        <f t="shared" si="4"/>
        <v>0</v>
      </c>
      <c r="P23" s="50"/>
      <c r="Q23" s="50"/>
      <c r="R23" s="12">
        <f aca="true" t="shared" si="5" ref="R23:W23">SUM(R24:R28)</f>
        <v>0</v>
      </c>
      <c r="S23" s="12">
        <f t="shared" si="5"/>
        <v>0</v>
      </c>
      <c r="T23" s="12">
        <f t="shared" si="5"/>
        <v>0</v>
      </c>
      <c r="U23" s="12">
        <f t="shared" si="5"/>
        <v>0</v>
      </c>
      <c r="V23" s="12">
        <f t="shared" si="5"/>
        <v>0</v>
      </c>
      <c r="W23" s="29">
        <f t="shared" si="5"/>
        <v>0</v>
      </c>
    </row>
    <row r="24" spans="1:23" ht="15" hidden="1">
      <c r="A24" s="858" t="s">
        <v>226</v>
      </c>
      <c r="B24" s="49"/>
      <c r="C24" s="50"/>
      <c r="D24" s="50"/>
      <c r="E24" s="50"/>
      <c r="F24" s="50"/>
      <c r="G24" s="50"/>
      <c r="H24" s="50"/>
      <c r="I24" s="50"/>
      <c r="J24" s="52"/>
      <c r="K24" s="626"/>
      <c r="L24" s="626"/>
      <c r="M24" s="626"/>
      <c r="N24" s="626"/>
      <c r="O24" s="298">
        <f>J24-K24-M24-N24</f>
        <v>0</v>
      </c>
      <c r="P24" s="50"/>
      <c r="Q24" s="50"/>
      <c r="R24" s="52"/>
      <c r="S24" s="626"/>
      <c r="T24" s="626"/>
      <c r="U24" s="626"/>
      <c r="V24" s="626"/>
      <c r="W24" s="298">
        <f>R24-S24-U24-V24</f>
        <v>0</v>
      </c>
    </row>
    <row r="25" spans="1:23" ht="15">
      <c r="A25" s="849" t="str">
        <f>A$23&amp;"."&amp;ROW(A1)</f>
        <v>3.1</v>
      </c>
      <c r="B25" s="281"/>
      <c r="C25" s="282"/>
      <c r="D25" s="283"/>
      <c r="E25" s="283"/>
      <c r="F25" s="282"/>
      <c r="G25" s="282"/>
      <c r="H25" s="284"/>
      <c r="I25" s="284"/>
      <c r="J25" s="25">
        <f>H25*I25</f>
        <v>0</v>
      </c>
      <c r="K25" s="297"/>
      <c r="L25" s="297"/>
      <c r="M25" s="297"/>
      <c r="N25" s="297"/>
      <c r="O25" s="298">
        <f>J25-K25-M25-N25</f>
        <v>0</v>
      </c>
      <c r="P25" s="284"/>
      <c r="Q25" s="284"/>
      <c r="R25" s="25">
        <f>P25*Q25</f>
        <v>0</v>
      </c>
      <c r="S25" s="297"/>
      <c r="T25" s="297"/>
      <c r="U25" s="297"/>
      <c r="V25" s="297"/>
      <c r="W25" s="298">
        <f>R25-S25-U25-V25</f>
        <v>0</v>
      </c>
    </row>
    <row r="26" spans="1:23" ht="15">
      <c r="A26" s="849" t="str">
        <f>A$23&amp;"."&amp;ROW(A2)</f>
        <v>3.2</v>
      </c>
      <c r="B26" s="281"/>
      <c r="C26" s="282"/>
      <c r="D26" s="283"/>
      <c r="E26" s="283"/>
      <c r="F26" s="282"/>
      <c r="G26" s="282"/>
      <c r="H26" s="284"/>
      <c r="I26" s="284"/>
      <c r="J26" s="25">
        <f>H26*I26</f>
        <v>0</v>
      </c>
      <c r="K26" s="297"/>
      <c r="L26" s="297"/>
      <c r="M26" s="297"/>
      <c r="N26" s="297"/>
      <c r="O26" s="298">
        <f>J26-K26-M26-N26</f>
        <v>0</v>
      </c>
      <c r="P26" s="284"/>
      <c r="Q26" s="284"/>
      <c r="R26" s="25">
        <f>P26*Q26</f>
        <v>0</v>
      </c>
      <c r="S26" s="297"/>
      <c r="T26" s="297"/>
      <c r="U26" s="297"/>
      <c r="V26" s="297"/>
      <c r="W26" s="298">
        <f>R26-S26-U26-V26</f>
        <v>0</v>
      </c>
    </row>
    <row r="27" spans="1:23" ht="15">
      <c r="A27" s="849" t="str">
        <f>A$23&amp;"."&amp;ROW(A3)</f>
        <v>3.3</v>
      </c>
      <c r="B27" s="281"/>
      <c r="C27" s="282"/>
      <c r="D27" s="283"/>
      <c r="E27" s="283"/>
      <c r="F27" s="282"/>
      <c r="G27" s="282"/>
      <c r="H27" s="284"/>
      <c r="I27" s="284"/>
      <c r="J27" s="25">
        <f>H27*I27</f>
        <v>0</v>
      </c>
      <c r="K27" s="297"/>
      <c r="L27" s="297"/>
      <c r="M27" s="297"/>
      <c r="N27" s="297"/>
      <c r="O27" s="298">
        <f>J27-K27-M27-N27</f>
        <v>0</v>
      </c>
      <c r="P27" s="284"/>
      <c r="Q27" s="284"/>
      <c r="R27" s="25">
        <f>P27*Q27</f>
        <v>0</v>
      </c>
      <c r="S27" s="297"/>
      <c r="T27" s="297"/>
      <c r="U27" s="297"/>
      <c r="V27" s="297"/>
      <c r="W27" s="298">
        <f>R27-S27-U27-V27</f>
        <v>0</v>
      </c>
    </row>
    <row r="28" spans="1:23" ht="15">
      <c r="A28" s="847"/>
      <c r="B28" s="16" t="s">
        <v>803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32"/>
      <c r="P28" s="15"/>
      <c r="Q28" s="15"/>
      <c r="R28" s="15"/>
      <c r="S28" s="15"/>
      <c r="T28" s="15"/>
      <c r="U28" s="15"/>
      <c r="V28" s="15"/>
      <c r="W28" s="32"/>
    </row>
    <row r="29" spans="1:23" ht="15">
      <c r="A29" s="857">
        <v>4</v>
      </c>
      <c r="B29" s="49" t="s">
        <v>463</v>
      </c>
      <c r="C29" s="50"/>
      <c r="D29" s="50"/>
      <c r="E29" s="50"/>
      <c r="F29" s="50"/>
      <c r="G29" s="50"/>
      <c r="H29" s="50"/>
      <c r="I29" s="50"/>
      <c r="J29" s="12">
        <f aca="true" t="shared" si="6" ref="J29:O29">SUM(J30:J34)</f>
        <v>4361.085</v>
      </c>
      <c r="K29" s="12">
        <f t="shared" si="6"/>
        <v>96</v>
      </c>
      <c r="L29" s="12">
        <f t="shared" si="6"/>
        <v>96</v>
      </c>
      <c r="M29" s="12">
        <f t="shared" si="6"/>
        <v>23</v>
      </c>
      <c r="N29" s="12">
        <f t="shared" si="6"/>
        <v>0</v>
      </c>
      <c r="O29" s="29">
        <f t="shared" si="6"/>
        <v>4242.085</v>
      </c>
      <c r="P29" s="50"/>
      <c r="Q29" s="50"/>
      <c r="R29" s="12">
        <f aca="true" t="shared" si="7" ref="R29:W29">SUM(R30:R34)</f>
        <v>4361.085</v>
      </c>
      <c r="S29" s="12">
        <f t="shared" si="7"/>
        <v>500</v>
      </c>
      <c r="T29" s="12">
        <f t="shared" si="7"/>
        <v>500</v>
      </c>
      <c r="U29" s="12">
        <f t="shared" si="7"/>
        <v>90</v>
      </c>
      <c r="V29" s="12">
        <f t="shared" si="7"/>
        <v>0</v>
      </c>
      <c r="W29" s="29">
        <f t="shared" si="7"/>
        <v>3771.085</v>
      </c>
    </row>
    <row r="30" spans="1:23" ht="15" hidden="1">
      <c r="A30" s="858" t="s">
        <v>337</v>
      </c>
      <c r="B30" s="49"/>
      <c r="C30" s="50"/>
      <c r="D30" s="50"/>
      <c r="E30" s="50"/>
      <c r="F30" s="50"/>
      <c r="G30" s="50"/>
      <c r="H30" s="50"/>
      <c r="I30" s="50"/>
      <c r="J30" s="52"/>
      <c r="K30" s="626"/>
      <c r="L30" s="626"/>
      <c r="M30" s="626"/>
      <c r="N30" s="626"/>
      <c r="O30" s="298">
        <f>J30-K30-M30-N30</f>
        <v>0</v>
      </c>
      <c r="P30" s="50"/>
      <c r="Q30" s="50"/>
      <c r="R30" s="52"/>
      <c r="S30" s="626"/>
      <c r="T30" s="626"/>
      <c r="U30" s="626"/>
      <c r="V30" s="626"/>
      <c r="W30" s="298">
        <f>R30-S30-U30-V30</f>
        <v>0</v>
      </c>
    </row>
    <row r="31" spans="1:23" ht="45">
      <c r="A31" s="849" t="str">
        <f>A$29&amp;"."&amp;ROW(A1)</f>
        <v>4.1</v>
      </c>
      <c r="B31" s="281" t="s">
        <v>1031</v>
      </c>
      <c r="C31" s="282">
        <v>36784</v>
      </c>
      <c r="D31" s="283" t="s">
        <v>1032</v>
      </c>
      <c r="E31" s="283" t="s">
        <v>1033</v>
      </c>
      <c r="F31" s="282">
        <v>36784</v>
      </c>
      <c r="G31" s="282">
        <v>54681</v>
      </c>
      <c r="H31" s="284">
        <f>1090271.25/3/1000</f>
        <v>363.42375</v>
      </c>
      <c r="I31" s="284">
        <v>12</v>
      </c>
      <c r="J31" s="25">
        <f>H31*I31</f>
        <v>4361.085</v>
      </c>
      <c r="K31" s="297">
        <v>96</v>
      </c>
      <c r="L31" s="297">
        <v>96</v>
      </c>
      <c r="M31" s="297">
        <v>23</v>
      </c>
      <c r="N31" s="297"/>
      <c r="O31" s="298">
        <f>J31-K31-M31-N31</f>
        <v>4242.085</v>
      </c>
      <c r="P31" s="284">
        <f>H31</f>
        <v>363.42375</v>
      </c>
      <c r="Q31" s="284">
        <v>12</v>
      </c>
      <c r="R31" s="25">
        <f>P31*Q31</f>
        <v>4361.085</v>
      </c>
      <c r="S31" s="297">
        <v>500</v>
      </c>
      <c r="T31" s="297">
        <v>500</v>
      </c>
      <c r="U31" s="297">
        <v>90</v>
      </c>
      <c r="V31" s="297"/>
      <c r="W31" s="298">
        <f>R31-S31-U31-V31</f>
        <v>3771.085</v>
      </c>
    </row>
    <row r="32" spans="1:23" ht="15">
      <c r="A32" s="849" t="str">
        <f>A$29&amp;"."&amp;ROW(A2)</f>
        <v>4.2</v>
      </c>
      <c r="B32" s="281"/>
      <c r="C32" s="282"/>
      <c r="D32" s="283"/>
      <c r="E32" s="283"/>
      <c r="F32" s="282"/>
      <c r="G32" s="282"/>
      <c r="H32" s="284"/>
      <c r="I32" s="284"/>
      <c r="J32" s="25">
        <f>H32*I32</f>
        <v>0</v>
      </c>
      <c r="K32" s="297"/>
      <c r="L32" s="297"/>
      <c r="M32" s="297"/>
      <c r="N32" s="297"/>
      <c r="O32" s="298">
        <f>J32-K32-M32-N32</f>
        <v>0</v>
      </c>
      <c r="P32" s="284"/>
      <c r="Q32" s="284"/>
      <c r="R32" s="25">
        <f>P32*Q32</f>
        <v>0</v>
      </c>
      <c r="S32" s="297"/>
      <c r="T32" s="297"/>
      <c r="U32" s="297"/>
      <c r="V32" s="297"/>
      <c r="W32" s="298">
        <f>R32-S32-U32-V32</f>
        <v>0</v>
      </c>
    </row>
    <row r="33" spans="1:23" ht="15">
      <c r="A33" s="849" t="str">
        <f>A$29&amp;"."&amp;ROW(A3)</f>
        <v>4.3</v>
      </c>
      <c r="B33" s="281"/>
      <c r="C33" s="282"/>
      <c r="D33" s="283"/>
      <c r="E33" s="283"/>
      <c r="F33" s="282"/>
      <c r="G33" s="282"/>
      <c r="H33" s="284"/>
      <c r="I33" s="284"/>
      <c r="J33" s="25">
        <f>H33*I33</f>
        <v>0</v>
      </c>
      <c r="K33" s="297"/>
      <c r="L33" s="297"/>
      <c r="M33" s="297"/>
      <c r="N33" s="297"/>
      <c r="O33" s="298">
        <f>J33-K33-M33-N33</f>
        <v>0</v>
      </c>
      <c r="P33" s="284"/>
      <c r="Q33" s="284"/>
      <c r="R33" s="25">
        <f>P33*Q33</f>
        <v>0</v>
      </c>
      <c r="S33" s="297"/>
      <c r="T33" s="297"/>
      <c r="U33" s="297"/>
      <c r="V33" s="297"/>
      <c r="W33" s="298">
        <f>R33-S33-U33-V33</f>
        <v>0</v>
      </c>
    </row>
    <row r="34" spans="1:23" ht="15">
      <c r="A34" s="847"/>
      <c r="B34" s="16" t="s">
        <v>803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5">
      <c r="A35" s="857">
        <v>5</v>
      </c>
      <c r="B35" s="49" t="s">
        <v>731</v>
      </c>
      <c r="C35" s="50"/>
      <c r="D35" s="50"/>
      <c r="E35" s="50"/>
      <c r="F35" s="50"/>
      <c r="G35" s="50"/>
      <c r="H35" s="50"/>
      <c r="I35" s="50"/>
      <c r="J35" s="12">
        <f aca="true" t="shared" si="8" ref="J35:O35">SUM(J36:J40)</f>
        <v>0</v>
      </c>
      <c r="K35" s="12">
        <f t="shared" si="8"/>
        <v>0</v>
      </c>
      <c r="L35" s="12">
        <f t="shared" si="8"/>
        <v>0</v>
      </c>
      <c r="M35" s="12">
        <f t="shared" si="8"/>
        <v>0</v>
      </c>
      <c r="N35" s="12">
        <f t="shared" si="8"/>
        <v>0</v>
      </c>
      <c r="O35" s="29">
        <f t="shared" si="8"/>
        <v>0</v>
      </c>
      <c r="P35" s="50"/>
      <c r="Q35" s="50"/>
      <c r="R35" s="12">
        <f aca="true" t="shared" si="9" ref="R35:W35">SUM(R36:R40)</f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29">
        <f t="shared" si="9"/>
        <v>0</v>
      </c>
    </row>
    <row r="36" spans="1:23" ht="15" hidden="1">
      <c r="A36" s="858" t="s">
        <v>730</v>
      </c>
      <c r="B36" s="49"/>
      <c r="C36" s="50"/>
      <c r="D36" s="50"/>
      <c r="E36" s="50"/>
      <c r="F36" s="50"/>
      <c r="G36" s="50"/>
      <c r="H36" s="50"/>
      <c r="I36" s="50"/>
      <c r="J36" s="52"/>
      <c r="K36" s="626"/>
      <c r="L36" s="626"/>
      <c r="M36" s="626"/>
      <c r="N36" s="626"/>
      <c r="O36" s="298">
        <f>J36-K36-M36-N36</f>
        <v>0</v>
      </c>
      <c r="P36" s="50"/>
      <c r="Q36" s="50"/>
      <c r="R36" s="52"/>
      <c r="S36" s="626"/>
      <c r="T36" s="626"/>
      <c r="U36" s="626"/>
      <c r="V36" s="626"/>
      <c r="W36" s="298">
        <f>R36-S36-U36-V36</f>
        <v>0</v>
      </c>
    </row>
    <row r="37" spans="1:23" ht="15">
      <c r="A37" s="849" t="str">
        <f>A$35&amp;"."&amp;ROW(A1)</f>
        <v>5.1</v>
      </c>
      <c r="B37" s="281"/>
      <c r="C37" s="282"/>
      <c r="D37" s="283"/>
      <c r="E37" s="283"/>
      <c r="F37" s="282"/>
      <c r="G37" s="282"/>
      <c r="H37" s="284"/>
      <c r="I37" s="284"/>
      <c r="J37" s="25">
        <f>H37*I37</f>
        <v>0</v>
      </c>
      <c r="K37" s="297"/>
      <c r="L37" s="297"/>
      <c r="M37" s="297"/>
      <c r="N37" s="297"/>
      <c r="O37" s="298">
        <f>J37-K37-M37-N37</f>
        <v>0</v>
      </c>
      <c r="P37" s="284"/>
      <c r="Q37" s="284"/>
      <c r="R37" s="25">
        <f>P37*Q37</f>
        <v>0</v>
      </c>
      <c r="S37" s="297"/>
      <c r="T37" s="297"/>
      <c r="U37" s="297"/>
      <c r="V37" s="297"/>
      <c r="W37" s="298">
        <f>R37-S37-U37-V37</f>
        <v>0</v>
      </c>
    </row>
    <row r="38" spans="1:23" ht="15">
      <c r="A38" s="849" t="str">
        <f>A$35&amp;"."&amp;ROW(A2)</f>
        <v>5.2</v>
      </c>
      <c r="B38" s="281"/>
      <c r="C38" s="282"/>
      <c r="D38" s="283"/>
      <c r="E38" s="283"/>
      <c r="F38" s="282"/>
      <c r="G38" s="282"/>
      <c r="H38" s="284"/>
      <c r="I38" s="284"/>
      <c r="J38" s="25">
        <f>H38*I38</f>
        <v>0</v>
      </c>
      <c r="K38" s="297"/>
      <c r="L38" s="297"/>
      <c r="M38" s="297"/>
      <c r="N38" s="297"/>
      <c r="O38" s="298">
        <f>J38-K38-M38-N38</f>
        <v>0</v>
      </c>
      <c r="P38" s="284"/>
      <c r="Q38" s="284"/>
      <c r="R38" s="25">
        <f>P38*Q38</f>
        <v>0</v>
      </c>
      <c r="S38" s="297"/>
      <c r="T38" s="297"/>
      <c r="U38" s="297"/>
      <c r="V38" s="297"/>
      <c r="W38" s="298">
        <f>R38-S38-U38-V38</f>
        <v>0</v>
      </c>
    </row>
    <row r="39" spans="1:23" ht="15">
      <c r="A39" s="849" t="str">
        <f>A$35&amp;"."&amp;ROW(A3)</f>
        <v>5.3</v>
      </c>
      <c r="B39" s="281"/>
      <c r="C39" s="282"/>
      <c r="D39" s="283"/>
      <c r="E39" s="283"/>
      <c r="F39" s="282"/>
      <c r="G39" s="282"/>
      <c r="H39" s="284"/>
      <c r="I39" s="284"/>
      <c r="J39" s="25">
        <f>H39*I39</f>
        <v>0</v>
      </c>
      <c r="K39" s="297"/>
      <c r="L39" s="297"/>
      <c r="M39" s="297"/>
      <c r="N39" s="297"/>
      <c r="O39" s="298">
        <f>J39-K39-M39-N39</f>
        <v>0</v>
      </c>
      <c r="P39" s="284"/>
      <c r="Q39" s="284"/>
      <c r="R39" s="25">
        <f>P39*Q39</f>
        <v>0</v>
      </c>
      <c r="S39" s="297"/>
      <c r="T39" s="297"/>
      <c r="U39" s="297"/>
      <c r="V39" s="297"/>
      <c r="W39" s="298">
        <f>R39-S39-U39-V39</f>
        <v>0</v>
      </c>
    </row>
    <row r="40" spans="1:23" ht="15">
      <c r="A40" s="15"/>
      <c r="B40" s="16" t="s">
        <v>803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5">
      <c r="A41" s="48">
        <v>6</v>
      </c>
      <c r="B41" s="49" t="s">
        <v>373</v>
      </c>
      <c r="C41" s="50"/>
      <c r="D41" s="50"/>
      <c r="E41" s="50"/>
      <c r="F41" s="50"/>
      <c r="G41" s="50"/>
      <c r="H41" s="50"/>
      <c r="I41" s="50"/>
      <c r="J41" s="12">
        <f aca="true" t="shared" si="10" ref="J41:O41">J11+J17+J23+J29+J35</f>
        <v>4361.085</v>
      </c>
      <c r="K41" s="12">
        <f t="shared" si="10"/>
        <v>96</v>
      </c>
      <c r="L41" s="12">
        <f t="shared" si="10"/>
        <v>96</v>
      </c>
      <c r="M41" s="12">
        <f t="shared" si="10"/>
        <v>23</v>
      </c>
      <c r="N41" s="12">
        <f t="shared" si="10"/>
        <v>0</v>
      </c>
      <c r="O41" s="12">
        <f t="shared" si="10"/>
        <v>4242.085</v>
      </c>
      <c r="P41" s="50"/>
      <c r="Q41" s="50"/>
      <c r="R41" s="12">
        <f aca="true" t="shared" si="11" ref="R41:W41">R11+R17+R23+R29+R35</f>
        <v>4361.085</v>
      </c>
      <c r="S41" s="12">
        <f t="shared" si="11"/>
        <v>500</v>
      </c>
      <c r="T41" s="12">
        <f t="shared" si="11"/>
        <v>500</v>
      </c>
      <c r="U41" s="12">
        <f t="shared" si="11"/>
        <v>90</v>
      </c>
      <c r="V41" s="12">
        <f t="shared" si="11"/>
        <v>0</v>
      </c>
      <c r="W41" s="12">
        <f t="shared" si="11"/>
        <v>3771.085</v>
      </c>
    </row>
    <row r="42" spans="1:23" ht="15">
      <c r="A42" s="3"/>
      <c r="B42" s="4"/>
      <c r="C42" s="4"/>
      <c r="D42" s="4"/>
      <c r="E42" s="5"/>
      <c r="F42" s="6"/>
      <c r="G42" s="6"/>
      <c r="H42" s="7"/>
      <c r="I42" s="7"/>
      <c r="J42" s="7"/>
      <c r="K42" s="7"/>
      <c r="L42" s="7"/>
      <c r="M42" s="7"/>
      <c r="N42" s="30"/>
      <c r="O42" s="627"/>
      <c r="P42" s="7"/>
      <c r="Q42" s="7"/>
      <c r="R42" s="7"/>
      <c r="S42" s="7"/>
      <c r="T42" s="7"/>
      <c r="U42" s="7"/>
      <c r="V42" s="30"/>
      <c r="W42" s="627"/>
    </row>
    <row r="43" spans="1:23" ht="15">
      <c r="A43" s="628"/>
      <c r="B43" s="628"/>
      <c r="C43" s="628"/>
      <c r="D43" s="628"/>
      <c r="E43" s="628"/>
      <c r="F43" s="628"/>
      <c r="G43" s="628"/>
      <c r="H43" s="628"/>
      <c r="I43" s="628"/>
      <c r="J43" s="628"/>
      <c r="K43" s="628"/>
      <c r="L43" s="628"/>
      <c r="M43" s="628"/>
      <c r="N43" s="628"/>
      <c r="O43" s="629"/>
      <c r="P43" s="628"/>
      <c r="Q43" s="628"/>
      <c r="R43" s="628"/>
      <c r="S43" s="628"/>
      <c r="T43" s="628"/>
      <c r="U43" s="628"/>
      <c r="V43" s="628"/>
      <c r="W43" s="629"/>
    </row>
    <row r="44" spans="1:23" ht="15">
      <c r="A44" s="564" t="s">
        <v>350</v>
      </c>
      <c r="B44" s="628"/>
      <c r="C44" s="628"/>
      <c r="D44" s="628"/>
      <c r="E44" s="628"/>
      <c r="F44" s="628"/>
      <c r="G44" s="628"/>
      <c r="H44" s="628"/>
      <c r="I44" s="628"/>
      <c r="J44" s="628"/>
      <c r="K44" s="628"/>
      <c r="L44" s="628"/>
      <c r="M44" s="628"/>
      <c r="N44" s="628"/>
      <c r="O44" s="629"/>
      <c r="P44" s="628"/>
      <c r="Q44" s="628"/>
      <c r="R44" s="628"/>
      <c r="S44" s="628"/>
      <c r="T44" s="628"/>
      <c r="U44" s="628"/>
      <c r="V44" s="628"/>
      <c r="W44" s="629"/>
    </row>
    <row r="45" spans="1:23" ht="15">
      <c r="A45" s="565"/>
      <c r="B45" s="628"/>
      <c r="C45" s="628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9"/>
      <c r="P45" s="628"/>
      <c r="Q45" s="628"/>
      <c r="R45" s="628"/>
      <c r="S45" s="628"/>
      <c r="T45" s="628"/>
      <c r="U45" s="628"/>
      <c r="V45" s="628"/>
      <c r="W45" s="629"/>
    </row>
    <row r="46" spans="1:23" ht="15">
      <c r="A46" s="886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  <c r="B46" s="568"/>
      <c r="C46" s="628"/>
      <c r="D46" s="628"/>
      <c r="E46" s="628"/>
      <c r="F46" s="628"/>
      <c r="G46" s="628"/>
      <c r="H46" s="628"/>
      <c r="I46" s="628"/>
      <c r="J46" s="628"/>
      <c r="K46" s="628"/>
      <c r="L46" s="628"/>
      <c r="M46" s="628"/>
      <c r="N46" s="628"/>
      <c r="O46" s="629"/>
      <c r="P46" s="628"/>
      <c r="Q46" s="628"/>
      <c r="R46" s="628"/>
      <c r="S46" s="628"/>
      <c r="T46" s="628"/>
      <c r="U46" s="628"/>
      <c r="V46" s="628"/>
      <c r="W46" s="629"/>
    </row>
    <row r="47" ht="15">
      <c r="B47" s="1008" t="s">
        <v>219</v>
      </c>
    </row>
  </sheetData>
  <sheetProtection password="CF72" sheet="1" objects="1" scenarios="1"/>
  <mergeCells count="18">
    <mergeCell ref="P6:P8"/>
    <mergeCell ref="Q6:Q8"/>
    <mergeCell ref="R6:W6"/>
    <mergeCell ref="R7:R8"/>
    <mergeCell ref="S7:W7"/>
    <mergeCell ref="H6:H8"/>
    <mergeCell ref="I6:I8"/>
    <mergeCell ref="J6:O6"/>
    <mergeCell ref="J7:J8"/>
    <mergeCell ref="K7:O7"/>
    <mergeCell ref="F8:F9"/>
    <mergeCell ref="G8:G9"/>
    <mergeCell ref="A6:A9"/>
    <mergeCell ref="B6:B9"/>
    <mergeCell ref="C6:C9"/>
    <mergeCell ref="D6:D9"/>
    <mergeCell ref="E6:E9"/>
    <mergeCell ref="F6:G7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B13:B15 D13:E15 B19:B21 D19:E21 B25:B27 D25:E27 B31:B33 D31:E33 B37:B39 D37:E39">
      <formula1>900</formula1>
    </dataValidation>
    <dataValidation type="decimal" allowBlank="1" showErrorMessage="1" errorTitle="Ошибка" error="Допускается ввод только неотрицательных чисел!" sqref="H31:I33 H13:I15 K13:N15 H19:I21 K19:N21 H25:I27 K25:N27 K31:N33 H37:I39 K37:N39 P31:Q33 P13:Q15 S13:V15 P19:Q21 S19:V21 P25:Q27 S25:V27 S31:V33 P37:Q39 S37:V39">
      <formula1>0</formula1>
      <formula2>9.99999999999999E+23</formula2>
    </dataValidation>
    <dataValidation type="date" allowBlank="1" showInputMessage="1" showErrorMessage="1" prompt="Для выбора выполните двойной щелчок левой клавиши мыши по ячейке." error="Введите дату в формате ДД.ММ.ГГГГ!" sqref="C13:C15 F31:F33 C19:C21 F13:F15 C25:C27 F19:F21 C31:C33 F25:F27 C37:C39 F37:F39">
      <formula1>32874</formula1>
      <formula2>54789</formula2>
    </dataValidation>
    <dataValidation type="decimal" allowBlank="1" showErrorMessage="1" errorTitle="Ошибка" error="Допускается ввод только действительных чисел!" sqref="K18:N18 K12:N12 K24:N24 K30:N30 K36:N36 S18:V18 S12:V12 S24:V24 S30:V30 S36:V36">
      <formula1>-999999999999999000000000</formula1>
      <formula2>9.99999999999999E+23</formula2>
    </dataValidation>
    <dataValidation type="date" allowBlank="1" showInputMessage="1" showErrorMessage="1" prompt="Для выбора выполните двойной щелчок левой клавиши мыши по ячейке." error="Введите дату в формате ДД.ММ.ГГГГ!" sqref="G13:G15 G19:G21 G25:G27 G31:G33 G37:G39">
      <formula1>32874</formula1>
      <formula2>73051</formula2>
    </dataValidation>
  </dataValidations>
  <printOptions/>
  <pageMargins left="0.25" right="0.25" top="0.75" bottom="0.75" header="0.3" footer="0.3"/>
  <pageSetup fitToWidth="0" fitToHeight="1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2:N34"/>
  <sheetViews>
    <sheetView zoomScalePageLayoutView="0" workbookViewId="0" topLeftCell="A4">
      <selection activeCell="E15" sqref="E15"/>
    </sheetView>
  </sheetViews>
  <sheetFormatPr defaultColWidth="9.140625" defaultRowHeight="15"/>
  <cols>
    <col min="1" max="1" width="4.57421875" style="513" customWidth="1"/>
    <col min="2" max="2" width="28.57421875" style="513" customWidth="1"/>
    <col min="3" max="3" width="11.140625" style="513" customWidth="1"/>
    <col min="4" max="5" width="12.140625" style="513" customWidth="1"/>
    <col min="6" max="6" width="13.421875" style="513" customWidth="1"/>
    <col min="7" max="8" width="13.57421875" style="513" customWidth="1"/>
    <col min="9" max="9" width="13.57421875" style="513" hidden="1" customWidth="1"/>
    <col min="10" max="11" width="9.140625" style="513" customWidth="1"/>
    <col min="12" max="12" width="10.57421875" style="513" bestFit="1" customWidth="1"/>
    <col min="13" max="13" width="13.421875" style="513" customWidth="1"/>
    <col min="14" max="14" width="12.57421875" style="513" customWidth="1"/>
    <col min="15" max="16384" width="9.140625" style="513" customWidth="1"/>
  </cols>
  <sheetData>
    <row r="2" spans="1:9" ht="15">
      <c r="A2" s="570" t="s">
        <v>705</v>
      </c>
      <c r="B2" s="571"/>
      <c r="C2" s="571"/>
      <c r="D2" s="566"/>
      <c r="E2" s="566"/>
      <c r="F2" s="566"/>
      <c r="G2" s="566"/>
      <c r="H2" s="566"/>
      <c r="I2" s="566"/>
    </row>
    <row r="3" spans="1:9" ht="15">
      <c r="A3" s="549" t="str">
        <f>Титульный!$B$10</f>
        <v>ООО "Дирекция Голицыно-3"</v>
      </c>
      <c r="B3" s="631"/>
      <c r="C3" s="631"/>
      <c r="D3" s="588"/>
      <c r="E3" s="588"/>
      <c r="F3" s="588"/>
      <c r="G3" s="588"/>
      <c r="H3" s="588"/>
      <c r="I3" s="588"/>
    </row>
    <row r="4" spans="1:9" ht="15">
      <c r="A4" s="551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632"/>
      <c r="C4" s="632"/>
      <c r="D4" s="588"/>
      <c r="E4" s="588"/>
      <c r="F4" s="588"/>
      <c r="G4" s="588"/>
      <c r="H4" s="588"/>
      <c r="I4" s="588"/>
    </row>
    <row r="5" spans="1:9" ht="15">
      <c r="A5" s="568"/>
      <c r="B5" s="558"/>
      <c r="C5" s="633"/>
      <c r="D5" s="558"/>
      <c r="E5" s="558"/>
      <c r="F5" s="558"/>
      <c r="G5" s="558"/>
      <c r="H5" s="558"/>
      <c r="I5" s="558"/>
    </row>
    <row r="6" spans="1:9" ht="15">
      <c r="A6" s="1567" t="s">
        <v>238</v>
      </c>
      <c r="B6" s="1567" t="s">
        <v>464</v>
      </c>
      <c r="C6" s="1567" t="s">
        <v>221</v>
      </c>
      <c r="D6" s="1579" t="s">
        <v>465</v>
      </c>
      <c r="E6" s="1567"/>
      <c r="F6" s="1579" t="s">
        <v>1311</v>
      </c>
      <c r="G6" s="1567"/>
      <c r="H6" s="1579" t="s">
        <v>1310</v>
      </c>
      <c r="I6" s="1567"/>
    </row>
    <row r="7" spans="1:9" ht="15">
      <c r="A7" s="1567"/>
      <c r="B7" s="1567"/>
      <c r="C7" s="1567"/>
      <c r="D7" s="1567" t="s">
        <v>329</v>
      </c>
      <c r="E7" s="1567" t="s">
        <v>6</v>
      </c>
      <c r="F7" s="552" t="s">
        <v>466</v>
      </c>
      <c r="G7" s="552" t="s">
        <v>466</v>
      </c>
      <c r="H7" s="552" t="s">
        <v>466</v>
      </c>
      <c r="I7" s="552" t="s">
        <v>466</v>
      </c>
    </row>
    <row r="8" spans="1:9" ht="30.75" customHeight="1">
      <c r="A8" s="1567"/>
      <c r="B8" s="1567"/>
      <c r="C8" s="1567"/>
      <c r="D8" s="1567"/>
      <c r="E8" s="1567"/>
      <c r="F8" s="553" t="s">
        <v>9</v>
      </c>
      <c r="G8" s="553" t="s">
        <v>10</v>
      </c>
      <c r="H8" s="553" t="s">
        <v>11</v>
      </c>
      <c r="I8" s="553" t="s">
        <v>12</v>
      </c>
    </row>
    <row r="9" spans="1:9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ht="30" customHeight="1">
      <c r="A10" s="634">
        <v>1</v>
      </c>
      <c r="B10" s="635" t="s">
        <v>468</v>
      </c>
      <c r="C10" s="33" t="s">
        <v>46</v>
      </c>
      <c r="D10" s="53">
        <f aca="true" t="shared" si="0" ref="D10:I10">D11*D12*12/1000</f>
        <v>0</v>
      </c>
      <c r="E10" s="53">
        <f t="shared" si="0"/>
        <v>0</v>
      </c>
      <c r="F10" s="53">
        <f t="shared" si="0"/>
        <v>0</v>
      </c>
      <c r="G10" s="53">
        <f t="shared" si="0"/>
        <v>0</v>
      </c>
      <c r="H10" s="53">
        <f t="shared" si="0"/>
        <v>0</v>
      </c>
      <c r="I10" s="53">
        <f t="shared" si="0"/>
        <v>0</v>
      </c>
    </row>
    <row r="11" spans="1:9" ht="24" customHeight="1">
      <c r="A11" s="636" t="s">
        <v>14</v>
      </c>
      <c r="B11" s="57" t="s">
        <v>469</v>
      </c>
      <c r="C11" s="58" t="s">
        <v>56</v>
      </c>
      <c r="D11" s="297"/>
      <c r="E11" s="25">
        <f>Численность!G21</f>
        <v>0</v>
      </c>
      <c r="F11" s="297"/>
      <c r="G11" s="297"/>
      <c r="H11" s="297"/>
      <c r="I11" s="25">
        <f>Численность!J21</f>
        <v>0</v>
      </c>
    </row>
    <row r="12" spans="1:9" ht="25.5" customHeight="1">
      <c r="A12" s="636" t="s">
        <v>17</v>
      </c>
      <c r="B12" s="57" t="s">
        <v>100</v>
      </c>
      <c r="C12" s="58" t="s">
        <v>50</v>
      </c>
      <c r="D12" s="297"/>
      <c r="E12" s="25">
        <f>Численность!I21</f>
        <v>0</v>
      </c>
      <c r="F12" s="297"/>
      <c r="G12" s="297"/>
      <c r="H12" s="297"/>
      <c r="I12" s="25">
        <f>Численность!O21*'Расчет тарифов'!N64/100</f>
        <v>0</v>
      </c>
    </row>
    <row r="13" spans="1:9" ht="24.75" customHeight="1">
      <c r="A13" s="634">
        <v>2</v>
      </c>
      <c r="B13" s="635" t="s">
        <v>470</v>
      </c>
      <c r="C13" s="33" t="s">
        <v>46</v>
      </c>
      <c r="D13" s="54">
        <f>D10*'Расчет тарифов'!G46/100</f>
        <v>0</v>
      </c>
      <c r="E13" s="297"/>
      <c r="F13" s="54">
        <f>F10*'Расчет тарифов'!I46/100</f>
        <v>0</v>
      </c>
      <c r="G13" s="54">
        <f>G10*'Расчет тарифов'!J46/100</f>
        <v>0</v>
      </c>
      <c r="H13" s="54">
        <f>H10*'Расчет тарифов'!M46/100</f>
        <v>0</v>
      </c>
      <c r="I13" s="54">
        <f>H13</f>
        <v>0</v>
      </c>
    </row>
    <row r="14" spans="1:9" ht="18" customHeight="1">
      <c r="A14" s="634">
        <v>3</v>
      </c>
      <c r="B14" s="635" t="s">
        <v>471</v>
      </c>
      <c r="C14" s="33" t="s">
        <v>46</v>
      </c>
      <c r="D14" s="53">
        <f aca="true" t="shared" si="1" ref="D14:I14">D15*D16</f>
        <v>0</v>
      </c>
      <c r="E14" s="53">
        <f t="shared" si="1"/>
        <v>0</v>
      </c>
      <c r="F14" s="53">
        <f t="shared" si="1"/>
        <v>0</v>
      </c>
      <c r="G14" s="53">
        <f t="shared" si="1"/>
        <v>0</v>
      </c>
      <c r="H14" s="53">
        <f t="shared" si="1"/>
        <v>0</v>
      </c>
      <c r="I14" s="53">
        <f t="shared" si="1"/>
        <v>0</v>
      </c>
    </row>
    <row r="15" spans="1:9" ht="25.5" customHeight="1">
      <c r="A15" s="636" t="s">
        <v>154</v>
      </c>
      <c r="B15" s="59" t="s">
        <v>472</v>
      </c>
      <c r="C15" s="58" t="s">
        <v>50</v>
      </c>
      <c r="D15" s="25">
        <f>'Расчет тарифов'!G35</f>
        <v>3.16</v>
      </c>
      <c r="E15" s="25">
        <f>'Расчет тарифов'!H35</f>
        <v>3.1361903967384435</v>
      </c>
      <c r="F15" s="25">
        <f>'Расчет тарифов'!I35</f>
        <v>3.1581</v>
      </c>
      <c r="G15" s="25">
        <f>'Расчет тарифов'!J35</f>
        <v>3.4107480000000003</v>
      </c>
      <c r="H15" s="25">
        <f>'Расчет тарифов'!M35</f>
        <v>4.49</v>
      </c>
      <c r="I15" s="25">
        <f>'Расчет тарифов'!O35</f>
        <v>4.8492</v>
      </c>
    </row>
    <row r="16" spans="1:9" ht="17.25" customHeight="1">
      <c r="A16" s="636" t="s">
        <v>353</v>
      </c>
      <c r="B16" s="57" t="s">
        <v>104</v>
      </c>
      <c r="C16" s="13" t="s">
        <v>106</v>
      </c>
      <c r="D16" s="297"/>
      <c r="E16" s="25">
        <f>'Расчет тарифов'!H67</f>
        <v>0</v>
      </c>
      <c r="F16" s="297"/>
      <c r="G16" s="297"/>
      <c r="H16" s="25">
        <f>I16</f>
        <v>0</v>
      </c>
      <c r="I16" s="25">
        <f>'Расчет тарифов'!O67</f>
        <v>0</v>
      </c>
    </row>
    <row r="17" spans="1:14" ht="24" customHeight="1">
      <c r="A17" s="634">
        <v>4</v>
      </c>
      <c r="B17" s="635" t="s">
        <v>489</v>
      </c>
      <c r="C17" s="33" t="s">
        <v>46</v>
      </c>
      <c r="D17" s="53">
        <f>SUM(D18:D27)</f>
        <v>0</v>
      </c>
      <c r="E17" s="53">
        <f>SUM(E18:E27)</f>
        <v>0</v>
      </c>
      <c r="F17" s="53">
        <f>SUM(F18:F27)</f>
        <v>0</v>
      </c>
      <c r="G17" s="53">
        <f>SUM(G18:G27)</f>
        <v>0</v>
      </c>
      <c r="H17" s="53">
        <f>SUM(H18:H27)</f>
        <v>0</v>
      </c>
      <c r="I17" s="53">
        <f>IF(Титульный!B5="2017 - 2018",SUM(I18:I27),'Цех. (произв.) расходы '!H17*ROUND((1-'Расчет тарифов'!M183/100)*(100+'Расчет тарифов'!M185),2)/100)</f>
        <v>0</v>
      </c>
      <c r="K17" s="1055"/>
      <c r="L17" s="1055"/>
      <c r="M17" s="1053"/>
      <c r="N17" s="1054"/>
    </row>
    <row r="18" spans="1:12" ht="30" customHeight="1">
      <c r="A18" s="636" t="s">
        <v>159</v>
      </c>
      <c r="B18" s="57" t="s">
        <v>473</v>
      </c>
      <c r="C18" s="58" t="s">
        <v>46</v>
      </c>
      <c r="D18" s="297"/>
      <c r="E18" s="25">
        <f>Амортизация!G17</f>
        <v>0</v>
      </c>
      <c r="F18" s="297"/>
      <c r="G18" s="297"/>
      <c r="H18" s="297"/>
      <c r="I18" s="25">
        <f>Амортизация!M17</f>
        <v>0</v>
      </c>
      <c r="K18" s="1055"/>
      <c r="L18" s="1055"/>
    </row>
    <row r="19" spans="1:9" ht="21" customHeight="1">
      <c r="A19" s="636" t="s">
        <v>161</v>
      </c>
      <c r="B19" s="57" t="s">
        <v>477</v>
      </c>
      <c r="C19" s="58" t="s">
        <v>46</v>
      </c>
      <c r="D19" s="297"/>
      <c r="E19" s="297"/>
      <c r="F19" s="297"/>
      <c r="G19" s="297"/>
      <c r="H19" s="297"/>
      <c r="I19" s="297"/>
    </row>
    <row r="20" spans="1:9" ht="24.75" customHeight="1">
      <c r="A20" s="636" t="s">
        <v>163</v>
      </c>
      <c r="B20" s="57" t="s">
        <v>478</v>
      </c>
      <c r="C20" s="58" t="s">
        <v>46</v>
      </c>
      <c r="D20" s="297"/>
      <c r="E20" s="297"/>
      <c r="F20" s="297"/>
      <c r="G20" s="297"/>
      <c r="H20" s="297"/>
      <c r="I20" s="297"/>
    </row>
    <row r="21" spans="1:9" ht="18.75" customHeight="1">
      <c r="A21" s="636" t="s">
        <v>227</v>
      </c>
      <c r="B21" s="57" t="s">
        <v>475</v>
      </c>
      <c r="C21" s="58" t="s">
        <v>46</v>
      </c>
      <c r="D21" s="297"/>
      <c r="E21" s="297"/>
      <c r="F21" s="297"/>
      <c r="G21" s="297"/>
      <c r="H21" s="297"/>
      <c r="I21" s="297"/>
    </row>
    <row r="22" spans="1:9" ht="25.5" customHeight="1">
      <c r="A22" s="636" t="s">
        <v>228</v>
      </c>
      <c r="B22" s="57" t="s">
        <v>474</v>
      </c>
      <c r="C22" s="58" t="s">
        <v>46</v>
      </c>
      <c r="D22" s="297"/>
      <c r="E22" s="297"/>
      <c r="F22" s="297"/>
      <c r="G22" s="297"/>
      <c r="H22" s="297"/>
      <c r="I22" s="297"/>
    </row>
    <row r="23" spans="1:9" ht="15" customHeight="1">
      <c r="A23" s="636" t="s">
        <v>229</v>
      </c>
      <c r="B23" s="57" t="s">
        <v>476</v>
      </c>
      <c r="C23" s="58" t="s">
        <v>46</v>
      </c>
      <c r="D23" s="297"/>
      <c r="E23" s="297"/>
      <c r="F23" s="297"/>
      <c r="G23" s="297"/>
      <c r="H23" s="297"/>
      <c r="I23" s="297"/>
    </row>
    <row r="24" spans="1:9" ht="15" customHeight="1">
      <c r="A24" s="859" t="str">
        <f>A$17&amp;"."&amp;ROW(A7)</f>
        <v>4.7</v>
      </c>
      <c r="B24" s="231"/>
      <c r="C24" s="58" t="str">
        <f>C23</f>
        <v>тыс.руб.</v>
      </c>
      <c r="D24" s="297"/>
      <c r="E24" s="297"/>
      <c r="F24" s="297"/>
      <c r="G24" s="297"/>
      <c r="H24" s="297"/>
      <c r="I24" s="297"/>
    </row>
    <row r="25" spans="1:9" ht="15" customHeight="1">
      <c r="A25" s="859" t="str">
        <f>A$17&amp;"."&amp;ROW(A8)</f>
        <v>4.8</v>
      </c>
      <c r="B25" s="231"/>
      <c r="C25" s="58" t="str">
        <f>C24</f>
        <v>тыс.руб.</v>
      </c>
      <c r="D25" s="297"/>
      <c r="E25" s="297"/>
      <c r="F25" s="297"/>
      <c r="G25" s="297"/>
      <c r="H25" s="297"/>
      <c r="I25" s="297"/>
    </row>
    <row r="26" spans="1:9" ht="15" customHeight="1">
      <c r="A26" s="859" t="str">
        <f>A$17&amp;"."&amp;ROW(A9)</f>
        <v>4.9</v>
      </c>
      <c r="B26" s="231"/>
      <c r="C26" s="58" t="str">
        <f>C25</f>
        <v>тыс.руб.</v>
      </c>
      <c r="D26" s="297"/>
      <c r="E26" s="297"/>
      <c r="F26" s="297"/>
      <c r="G26" s="297"/>
      <c r="H26" s="297"/>
      <c r="I26" s="297"/>
    </row>
    <row r="27" spans="1:9" ht="15">
      <c r="A27" s="15"/>
      <c r="B27" s="16" t="s">
        <v>804</v>
      </c>
      <c r="C27" s="15"/>
      <c r="D27" s="15"/>
      <c r="E27" s="15"/>
      <c r="F27" s="15"/>
      <c r="G27" s="15"/>
      <c r="H27" s="15"/>
      <c r="I27" s="15"/>
    </row>
    <row r="28" spans="1:9" ht="15">
      <c r="A28" s="637"/>
      <c r="B28" s="637" t="s">
        <v>339</v>
      </c>
      <c r="C28" s="593" t="s">
        <v>46</v>
      </c>
      <c r="D28" s="25">
        <f aca="true" t="shared" si="2" ref="D28:I28">D10+D13+D14+D17</f>
        <v>0</v>
      </c>
      <c r="E28" s="25">
        <f t="shared" si="2"/>
        <v>0</v>
      </c>
      <c r="F28" s="25">
        <f t="shared" si="2"/>
        <v>0</v>
      </c>
      <c r="G28" s="25">
        <f t="shared" si="2"/>
        <v>0</v>
      </c>
      <c r="H28" s="25">
        <f t="shared" si="2"/>
        <v>0</v>
      </c>
      <c r="I28" s="25">
        <f t="shared" si="2"/>
        <v>0</v>
      </c>
    </row>
    <row r="29" spans="1:9" ht="15">
      <c r="A29" s="3"/>
      <c r="B29" s="4"/>
      <c r="C29" s="4"/>
      <c r="D29" s="4"/>
      <c r="E29" s="5"/>
      <c r="F29" s="6"/>
      <c r="G29" s="6"/>
      <c r="H29" s="7"/>
      <c r="I29" s="7"/>
    </row>
    <row r="30" spans="1:9" ht="15">
      <c r="A30" s="565"/>
      <c r="B30" s="566"/>
      <c r="C30" s="638"/>
      <c r="D30" s="566"/>
      <c r="E30" s="566"/>
      <c r="F30" s="566"/>
      <c r="G30" s="566"/>
      <c r="H30" s="566"/>
      <c r="I30" s="566"/>
    </row>
    <row r="31" spans="1:9" ht="15">
      <c r="A31" s="564" t="s">
        <v>350</v>
      </c>
      <c r="B31" s="566"/>
      <c r="C31" s="638"/>
      <c r="D31" s="566"/>
      <c r="E31" s="566"/>
      <c r="F31" s="566"/>
      <c r="G31" s="566"/>
      <c r="H31" s="566"/>
      <c r="I31" s="566"/>
    </row>
    <row r="32" spans="1:9" ht="15">
      <c r="A32" s="565"/>
      <c r="B32" s="566"/>
      <c r="C32" s="638"/>
      <c r="D32" s="566"/>
      <c r="E32" s="566"/>
      <c r="F32" s="566"/>
      <c r="G32" s="566"/>
      <c r="H32" s="566"/>
      <c r="I32" s="566"/>
    </row>
    <row r="33" spans="1:9" ht="15">
      <c r="A33" s="886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  <c r="B33" s="568"/>
      <c r="C33" s="638"/>
      <c r="D33" s="566"/>
      <c r="E33" s="566"/>
      <c r="F33" s="566"/>
      <c r="G33" s="566"/>
      <c r="H33" s="566"/>
      <c r="I33" s="566"/>
    </row>
    <row r="34" ht="15">
      <c r="B34" s="1008" t="s">
        <v>219</v>
      </c>
    </row>
  </sheetData>
  <sheetProtection password="CF72" sheet="1" objects="1" scenarios="1"/>
  <mergeCells count="8">
    <mergeCell ref="A6:A8"/>
    <mergeCell ref="B6:B8"/>
    <mergeCell ref="C6:C8"/>
    <mergeCell ref="D6:E6"/>
    <mergeCell ref="F6:G6"/>
    <mergeCell ref="H6:I6"/>
    <mergeCell ref="D7:D8"/>
    <mergeCell ref="E7:E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24:B26">
      <formula1>900</formula1>
    </dataValidation>
    <dataValidation type="decimal" allowBlank="1" showErrorMessage="1" errorTitle="Ошибка" error="Допускается ввод только неотрицательных чисел!" sqref="D18:D21 F18:H18 F11:H12 D16 F16:G16 D11:D12 E19:I21 D22:I26">
      <formula1>0</formula1>
      <formula2>9.99999999999999E+23</formula2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2:I65"/>
  <sheetViews>
    <sheetView zoomScalePageLayoutView="0" workbookViewId="0" topLeftCell="A1">
      <pane ySplit="9" topLeftCell="A28" activePane="bottomLeft" state="frozen"/>
      <selection pane="topLeft" activeCell="A1" sqref="A1"/>
      <selection pane="bottomLeft" activeCell="E34" sqref="E34"/>
    </sheetView>
  </sheetViews>
  <sheetFormatPr defaultColWidth="9.140625" defaultRowHeight="15"/>
  <cols>
    <col min="1" max="1" width="6.140625" style="513" customWidth="1"/>
    <col min="2" max="2" width="35.00390625" style="513" customWidth="1"/>
    <col min="3" max="3" width="9.8515625" style="513" customWidth="1"/>
    <col min="4" max="4" width="11.140625" style="513" customWidth="1"/>
    <col min="5" max="5" width="13.8515625" style="513" customWidth="1"/>
    <col min="6" max="8" width="15.421875" style="513" customWidth="1"/>
    <col min="9" max="9" width="15.421875" style="513" hidden="1" customWidth="1"/>
    <col min="10" max="16384" width="9.140625" style="513" customWidth="1"/>
  </cols>
  <sheetData>
    <row r="2" spans="1:9" ht="15">
      <c r="A2" s="555" t="s">
        <v>490</v>
      </c>
      <c r="B2" s="639"/>
      <c r="C2" s="571"/>
      <c r="D2" s="571"/>
      <c r="E2" s="566"/>
      <c r="F2" s="566"/>
      <c r="G2" s="566"/>
      <c r="H2" s="586"/>
      <c r="I2" s="566"/>
    </row>
    <row r="3" spans="1:9" ht="15">
      <c r="A3" s="549" t="str">
        <f>Титульный!$B$10</f>
        <v>ООО "Дирекция Голицыно-3"</v>
      </c>
      <c r="B3" s="631"/>
      <c r="C3" s="631"/>
      <c r="D3" s="631"/>
      <c r="E3" s="588"/>
      <c r="F3" s="588"/>
      <c r="G3" s="588"/>
      <c r="H3" s="588"/>
      <c r="I3" s="588"/>
    </row>
    <row r="4" spans="1:9" ht="15">
      <c r="A4" s="551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632"/>
      <c r="C4" s="632"/>
      <c r="D4" s="632"/>
      <c r="E4" s="588"/>
      <c r="F4" s="588"/>
      <c r="G4" s="588"/>
      <c r="H4" s="588"/>
      <c r="I4" s="588"/>
    </row>
    <row r="5" spans="1:9" ht="15">
      <c r="A5" s="568"/>
      <c r="B5" s="558"/>
      <c r="C5" s="633"/>
      <c r="D5" s="558"/>
      <c r="E5" s="558"/>
      <c r="F5" s="558"/>
      <c r="G5" s="558"/>
      <c r="H5" s="558"/>
      <c r="I5" s="558"/>
    </row>
    <row r="6" spans="1:9" ht="15">
      <c r="A6" s="1567" t="s">
        <v>238</v>
      </c>
      <c r="B6" s="1567" t="s">
        <v>464</v>
      </c>
      <c r="C6" s="1567" t="s">
        <v>221</v>
      </c>
      <c r="D6" s="1579" t="s">
        <v>465</v>
      </c>
      <c r="E6" s="1567"/>
      <c r="F6" s="1579" t="s">
        <v>1311</v>
      </c>
      <c r="G6" s="1567"/>
      <c r="H6" s="1579" t="s">
        <v>1310</v>
      </c>
      <c r="I6" s="1567"/>
    </row>
    <row r="7" spans="1:9" ht="15">
      <c r="A7" s="1567"/>
      <c r="B7" s="1567"/>
      <c r="C7" s="1567"/>
      <c r="D7" s="1567" t="s">
        <v>329</v>
      </c>
      <c r="E7" s="1567" t="s">
        <v>6</v>
      </c>
      <c r="F7" s="552" t="s">
        <v>466</v>
      </c>
      <c r="G7" s="552" t="s">
        <v>466</v>
      </c>
      <c r="H7" s="552" t="s">
        <v>466</v>
      </c>
      <c r="I7" s="552" t="s">
        <v>466</v>
      </c>
    </row>
    <row r="8" spans="1:9" ht="30.75" customHeight="1">
      <c r="A8" s="1567"/>
      <c r="B8" s="1567"/>
      <c r="C8" s="1567"/>
      <c r="D8" s="1567"/>
      <c r="E8" s="1567"/>
      <c r="F8" s="956" t="s">
        <v>9</v>
      </c>
      <c r="G8" s="956" t="s">
        <v>10</v>
      </c>
      <c r="H8" s="956" t="s">
        <v>11</v>
      </c>
      <c r="I8" s="956" t="s">
        <v>12</v>
      </c>
    </row>
    <row r="9" spans="1:9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ht="18.75" customHeight="1">
      <c r="A10" s="60" t="s">
        <v>280</v>
      </c>
      <c r="B10" s="61" t="s">
        <v>479</v>
      </c>
      <c r="C10" s="62" t="s">
        <v>46</v>
      </c>
      <c r="D10" s="53">
        <f aca="true" t="shared" si="0" ref="D10:I10">D11*D12*12/1000</f>
        <v>0</v>
      </c>
      <c r="E10" s="53">
        <f t="shared" si="0"/>
        <v>0</v>
      </c>
      <c r="F10" s="53">
        <f t="shared" si="0"/>
        <v>0</v>
      </c>
      <c r="G10" s="53">
        <f t="shared" si="0"/>
        <v>0</v>
      </c>
      <c r="H10" s="53">
        <f t="shared" si="0"/>
        <v>0</v>
      </c>
      <c r="I10" s="53">
        <f t="shared" si="0"/>
        <v>0</v>
      </c>
    </row>
    <row r="11" spans="1:9" ht="18.75" customHeight="1">
      <c r="A11" s="965" t="s">
        <v>14</v>
      </c>
      <c r="B11" s="57" t="s">
        <v>480</v>
      </c>
      <c r="C11" s="58" t="s">
        <v>56</v>
      </c>
      <c r="D11" s="297"/>
      <c r="E11" s="25">
        <f>Численность!G26</f>
        <v>0</v>
      </c>
      <c r="F11" s="297"/>
      <c r="G11" s="297"/>
      <c r="H11" s="297"/>
      <c r="I11" s="25">
        <f>H11</f>
        <v>0</v>
      </c>
    </row>
    <row r="12" spans="1:9" ht="19.5" customHeight="1">
      <c r="A12" s="965" t="s">
        <v>17</v>
      </c>
      <c r="B12" s="57" t="s">
        <v>113</v>
      </c>
      <c r="C12" s="58" t="s">
        <v>50</v>
      </c>
      <c r="D12" s="297"/>
      <c r="E12" s="25">
        <f>Численность!I26</f>
        <v>0</v>
      </c>
      <c r="F12" s="297"/>
      <c r="G12" s="297"/>
      <c r="H12" s="297"/>
      <c r="I12" s="25">
        <f>Численность!O26*'Расчет тарифов'!N71/100</f>
        <v>0</v>
      </c>
    </row>
    <row r="13" spans="1:9" ht="25.5" customHeight="1">
      <c r="A13" s="60" t="s">
        <v>285</v>
      </c>
      <c r="B13" s="61" t="s">
        <v>470</v>
      </c>
      <c r="C13" s="62" t="s">
        <v>46</v>
      </c>
      <c r="D13" s="54">
        <f>D10*'Расчет тарифов'!G46/100</f>
        <v>0</v>
      </c>
      <c r="E13" s="1004"/>
      <c r="F13" s="54">
        <f>F10*'Расчет тарифов'!I46/100</f>
        <v>0</v>
      </c>
      <c r="G13" s="54">
        <f>G10*'Расчет тарифов'!J46/100</f>
        <v>0</v>
      </c>
      <c r="H13" s="54">
        <f>H10*'Расчет тарифов'!M46/100</f>
        <v>0</v>
      </c>
      <c r="I13" s="54">
        <f>H13</f>
        <v>0</v>
      </c>
    </row>
    <row r="14" spans="1:9" ht="18.75" customHeight="1">
      <c r="A14" s="60" t="s">
        <v>152</v>
      </c>
      <c r="B14" s="61" t="s">
        <v>471</v>
      </c>
      <c r="C14" s="62" t="s">
        <v>46</v>
      </c>
      <c r="D14" s="53">
        <f aca="true" t="shared" si="1" ref="D14:I14">D15*D16</f>
        <v>0</v>
      </c>
      <c r="E14" s="53">
        <f t="shared" si="1"/>
        <v>0</v>
      </c>
      <c r="F14" s="53">
        <f t="shared" si="1"/>
        <v>0</v>
      </c>
      <c r="G14" s="53">
        <f t="shared" si="1"/>
        <v>0</v>
      </c>
      <c r="H14" s="53">
        <f t="shared" si="1"/>
        <v>0</v>
      </c>
      <c r="I14" s="53">
        <f t="shared" si="1"/>
        <v>0</v>
      </c>
    </row>
    <row r="15" spans="1:9" ht="18.75" customHeight="1">
      <c r="A15" s="965" t="s">
        <v>154</v>
      </c>
      <c r="B15" s="59" t="s">
        <v>472</v>
      </c>
      <c r="C15" s="58" t="s">
        <v>50</v>
      </c>
      <c r="D15" s="25">
        <f>'Расчет тарифов'!G35</f>
        <v>3.16</v>
      </c>
      <c r="E15" s="25">
        <f>'Расчет тарифов'!H35</f>
        <v>3.1361903967384435</v>
      </c>
      <c r="F15" s="25">
        <f>'Расчет тарифов'!I35</f>
        <v>3.1581</v>
      </c>
      <c r="G15" s="25">
        <f>'Расчет тарифов'!J35</f>
        <v>3.4107480000000003</v>
      </c>
      <c r="H15" s="25">
        <f>'Расчет тарифов'!M35</f>
        <v>4.49</v>
      </c>
      <c r="I15" s="25">
        <f>'Расчет тарифов'!O35</f>
        <v>4.8492</v>
      </c>
    </row>
    <row r="16" spans="1:9" ht="18.75" customHeight="1">
      <c r="A16" s="965" t="s">
        <v>353</v>
      </c>
      <c r="B16" s="57" t="s">
        <v>104</v>
      </c>
      <c r="C16" s="13" t="s">
        <v>106</v>
      </c>
      <c r="D16" s="297"/>
      <c r="E16" s="297"/>
      <c r="F16" s="297"/>
      <c r="G16" s="297"/>
      <c r="H16" s="297"/>
      <c r="I16" s="297"/>
    </row>
    <row r="17" spans="1:9" ht="18.75" customHeight="1">
      <c r="A17" s="60" t="s">
        <v>157</v>
      </c>
      <c r="B17" s="61" t="s">
        <v>501</v>
      </c>
      <c r="C17" s="62" t="s">
        <v>46</v>
      </c>
      <c r="D17" s="53">
        <f>SUM(D18:D36)</f>
        <v>94.62</v>
      </c>
      <c r="E17" s="53">
        <f>SUM(E18:E36)</f>
        <v>99.16</v>
      </c>
      <c r="F17" s="53">
        <f>SUM(F18:F36)</f>
        <v>142.97</v>
      </c>
      <c r="G17" s="53">
        <f>SUM(G18:G36)</f>
        <v>142.97</v>
      </c>
      <c r="H17" s="53">
        <f>SUM(H18:H36)</f>
        <v>142.97</v>
      </c>
      <c r="I17" s="53">
        <f>IF(Титульный!B5="2017 - 2018",SUM(I18:I36),'Адм. расходы'!H17*ROUND((1-'Расчет тарифов'!M183/100)*(100+'Расчет тарифов'!M185),2)/100)</f>
        <v>150.03271800000002</v>
      </c>
    </row>
    <row r="18" spans="1:9" s="641" customFormat="1" ht="18.75" customHeight="1">
      <c r="A18" s="859" t="str">
        <f>A$17&amp;"."&amp;ROW(A1)</f>
        <v>4.1</v>
      </c>
      <c r="B18" s="967" t="s">
        <v>491</v>
      </c>
      <c r="C18" s="56" t="s">
        <v>46</v>
      </c>
      <c r="D18" s="899"/>
      <c r="E18" s="899"/>
      <c r="F18" s="899"/>
      <c r="G18" s="899"/>
      <c r="H18" s="297"/>
      <c r="I18" s="899"/>
    </row>
    <row r="19" spans="1:9" s="641" customFormat="1" ht="18.75" customHeight="1">
      <c r="A19" s="859" t="str">
        <f aca="true" t="shared" si="2" ref="A19:A35">A$17&amp;"."&amp;ROW(A2)</f>
        <v>4.2</v>
      </c>
      <c r="B19" s="967" t="s">
        <v>492</v>
      </c>
      <c r="C19" s="56" t="s">
        <v>46</v>
      </c>
      <c r="D19" s="899"/>
      <c r="E19" s="899"/>
      <c r="F19" s="899"/>
      <c r="G19" s="899"/>
      <c r="H19" s="297"/>
      <c r="I19" s="899"/>
    </row>
    <row r="20" spans="1:9" s="641" customFormat="1" ht="27" customHeight="1">
      <c r="A20" s="859" t="str">
        <f t="shared" si="2"/>
        <v>4.3</v>
      </c>
      <c r="B20" s="967" t="s">
        <v>493</v>
      </c>
      <c r="C20" s="56" t="s">
        <v>46</v>
      </c>
      <c r="D20" s="899"/>
      <c r="E20" s="899"/>
      <c r="F20" s="899"/>
      <c r="G20" s="899"/>
      <c r="H20" s="297"/>
      <c r="I20" s="899"/>
    </row>
    <row r="21" spans="1:9" s="641" customFormat="1" ht="26.25" customHeight="1">
      <c r="A21" s="859" t="str">
        <f t="shared" si="2"/>
        <v>4.4</v>
      </c>
      <c r="B21" s="967" t="s">
        <v>494</v>
      </c>
      <c r="C21" s="56" t="s">
        <v>46</v>
      </c>
      <c r="D21" s="899">
        <v>94.62</v>
      </c>
      <c r="E21" s="899"/>
      <c r="F21" s="899"/>
      <c r="G21" s="899"/>
      <c r="H21" s="297"/>
      <c r="I21" s="899">
        <v>99</v>
      </c>
    </row>
    <row r="22" spans="1:9" s="641" customFormat="1" ht="28.5" customHeight="1">
      <c r="A22" s="859" t="str">
        <f t="shared" si="2"/>
        <v>4.5</v>
      </c>
      <c r="B22" s="967" t="s">
        <v>495</v>
      </c>
      <c r="C22" s="56" t="s">
        <v>46</v>
      </c>
      <c r="D22" s="899"/>
      <c r="E22" s="899"/>
      <c r="F22" s="899"/>
      <c r="G22" s="899"/>
      <c r="H22" s="297"/>
      <c r="I22" s="899"/>
    </row>
    <row r="23" spans="1:9" s="641" customFormat="1" ht="15.75" customHeight="1">
      <c r="A23" s="859" t="str">
        <f t="shared" si="2"/>
        <v>4.6</v>
      </c>
      <c r="B23" s="967" t="s">
        <v>496</v>
      </c>
      <c r="C23" s="56" t="s">
        <v>46</v>
      </c>
      <c r="D23" s="899"/>
      <c r="E23" s="899"/>
      <c r="F23" s="899"/>
      <c r="G23" s="899"/>
      <c r="H23" s="297"/>
      <c r="I23" s="899"/>
    </row>
    <row r="24" spans="1:9" s="641" customFormat="1" ht="68.25" customHeight="1">
      <c r="A24" s="859" t="str">
        <f t="shared" si="2"/>
        <v>4.7</v>
      </c>
      <c r="B24" s="55" t="s">
        <v>819</v>
      </c>
      <c r="C24" s="56" t="s">
        <v>46</v>
      </c>
      <c r="D24" s="297"/>
      <c r="E24" s="297"/>
      <c r="F24" s="297"/>
      <c r="G24" s="297"/>
      <c r="H24" s="297"/>
      <c r="I24" s="297"/>
    </row>
    <row r="25" spans="1:9" s="641" customFormat="1" ht="18.75" customHeight="1">
      <c r="A25" s="859" t="str">
        <f t="shared" si="2"/>
        <v>4.8</v>
      </c>
      <c r="B25" s="55" t="s">
        <v>497</v>
      </c>
      <c r="C25" s="56" t="s">
        <v>46</v>
      </c>
      <c r="D25" s="297"/>
      <c r="E25" s="297"/>
      <c r="F25" s="297"/>
      <c r="G25" s="297"/>
      <c r="H25" s="297"/>
      <c r="I25" s="297"/>
    </row>
    <row r="26" spans="1:9" s="641" customFormat="1" ht="17.25" customHeight="1">
      <c r="A26" s="859" t="str">
        <f t="shared" si="2"/>
        <v>4.9</v>
      </c>
      <c r="B26" s="55" t="s">
        <v>498</v>
      </c>
      <c r="C26" s="56" t="s">
        <v>46</v>
      </c>
      <c r="D26" s="297"/>
      <c r="E26" s="297"/>
      <c r="F26" s="297"/>
      <c r="G26" s="297"/>
      <c r="H26" s="297"/>
      <c r="I26" s="297"/>
    </row>
    <row r="27" spans="1:9" s="641" customFormat="1" ht="17.25" customHeight="1">
      <c r="A27" s="859" t="str">
        <f t="shared" si="2"/>
        <v>4.10</v>
      </c>
      <c r="B27" s="55" t="s">
        <v>499</v>
      </c>
      <c r="C27" s="56" t="s">
        <v>46</v>
      </c>
      <c r="D27" s="297"/>
      <c r="E27" s="297"/>
      <c r="F27" s="297"/>
      <c r="G27" s="297"/>
      <c r="H27" s="297"/>
      <c r="I27" s="297"/>
    </row>
    <row r="28" spans="1:9" s="641" customFormat="1" ht="24.75" customHeight="1">
      <c r="A28" s="859" t="str">
        <f t="shared" si="2"/>
        <v>4.11</v>
      </c>
      <c r="B28" s="57" t="s">
        <v>481</v>
      </c>
      <c r="C28" s="56" t="s">
        <v>46</v>
      </c>
      <c r="D28" s="297"/>
      <c r="E28" s="25">
        <f>Амортизация!G22</f>
        <v>0</v>
      </c>
      <c r="F28" s="297"/>
      <c r="G28" s="297"/>
      <c r="H28" s="297"/>
      <c r="I28" s="25">
        <f>Амортизация!M22</f>
        <v>0</v>
      </c>
    </row>
    <row r="29" spans="1:9" s="641" customFormat="1" ht="23.25" customHeight="1">
      <c r="A29" s="859" t="str">
        <f t="shared" si="2"/>
        <v>4.12</v>
      </c>
      <c r="B29" s="57" t="s">
        <v>482</v>
      </c>
      <c r="C29" s="58" t="s">
        <v>46</v>
      </c>
      <c r="D29" s="297"/>
      <c r="E29" s="297"/>
      <c r="F29" s="297"/>
      <c r="G29" s="297"/>
      <c r="H29" s="297"/>
      <c r="I29" s="297"/>
    </row>
    <row r="30" spans="1:9" s="641" customFormat="1" ht="15">
      <c r="A30" s="859" t="str">
        <f t="shared" si="2"/>
        <v>4.13</v>
      </c>
      <c r="B30" s="57" t="s">
        <v>483</v>
      </c>
      <c r="C30" s="58" t="s">
        <v>46</v>
      </c>
      <c r="D30" s="297"/>
      <c r="E30" s="297"/>
      <c r="F30" s="297"/>
      <c r="G30" s="297"/>
      <c r="H30" s="297"/>
      <c r="I30" s="297"/>
    </row>
    <row r="31" spans="1:9" s="641" customFormat="1" ht="15">
      <c r="A31" s="859" t="str">
        <f t="shared" si="2"/>
        <v>4.14</v>
      </c>
      <c r="B31" s="57" t="s">
        <v>502</v>
      </c>
      <c r="C31" s="58" t="s">
        <v>46</v>
      </c>
      <c r="D31" s="297"/>
      <c r="E31" s="297"/>
      <c r="F31" s="297"/>
      <c r="G31" s="297"/>
      <c r="H31" s="297"/>
      <c r="I31" s="297"/>
    </row>
    <row r="32" spans="1:9" s="641" customFormat="1" ht="15">
      <c r="A32" s="859" t="str">
        <f t="shared" si="2"/>
        <v>4.15</v>
      </c>
      <c r="B32" s="57" t="s">
        <v>484</v>
      </c>
      <c r="C32" s="58" t="s">
        <v>46</v>
      </c>
      <c r="D32" s="297"/>
      <c r="E32" s="297"/>
      <c r="F32" s="297"/>
      <c r="G32" s="297"/>
      <c r="H32" s="297"/>
      <c r="I32" s="297"/>
    </row>
    <row r="33" spans="1:9" s="641" customFormat="1" ht="15">
      <c r="A33" s="859" t="str">
        <f t="shared" si="2"/>
        <v>4.16</v>
      </c>
      <c r="B33" s="1298" t="s">
        <v>1360</v>
      </c>
      <c r="C33" s="58" t="str">
        <f>C32</f>
        <v>тыс.руб.</v>
      </c>
      <c r="D33" s="297"/>
      <c r="E33" s="297">
        <v>99.16</v>
      </c>
      <c r="F33" s="297">
        <v>142.97</v>
      </c>
      <c r="G33" s="297">
        <v>142.97</v>
      </c>
      <c r="H33" s="297">
        <v>142.97</v>
      </c>
      <c r="I33" s="297"/>
    </row>
    <row r="34" spans="1:9" s="641" customFormat="1" ht="15">
      <c r="A34" s="859" t="str">
        <f t="shared" si="2"/>
        <v>4.17</v>
      </c>
      <c r="B34" s="231"/>
      <c r="C34" s="58" t="str">
        <f>C33</f>
        <v>тыс.руб.</v>
      </c>
      <c r="D34" s="297"/>
      <c r="E34" s="297"/>
      <c r="F34" s="297"/>
      <c r="G34" s="297"/>
      <c r="H34" s="297"/>
      <c r="I34" s="297"/>
    </row>
    <row r="35" spans="1:9" s="641" customFormat="1" ht="15">
      <c r="A35" s="859" t="str">
        <f t="shared" si="2"/>
        <v>4.18</v>
      </c>
      <c r="B35" s="973"/>
      <c r="C35" s="58" t="str">
        <f>C34</f>
        <v>тыс.руб.</v>
      </c>
      <c r="D35" s="297"/>
      <c r="E35" s="297"/>
      <c r="F35" s="297"/>
      <c r="G35" s="297"/>
      <c r="H35" s="297"/>
      <c r="I35" s="297"/>
    </row>
    <row r="36" spans="1:9" ht="15">
      <c r="A36" s="15"/>
      <c r="B36" s="16" t="s">
        <v>804</v>
      </c>
      <c r="C36" s="15"/>
      <c r="D36" s="15"/>
      <c r="E36" s="15"/>
      <c r="F36" s="15"/>
      <c r="G36" s="15"/>
      <c r="H36" s="15"/>
      <c r="I36" s="15"/>
    </row>
    <row r="37" spans="1:9" s="966" customFormat="1" ht="15">
      <c r="A37" s="61"/>
      <c r="B37" s="61" t="s">
        <v>339</v>
      </c>
      <c r="C37" s="62" t="s">
        <v>46</v>
      </c>
      <c r="D37" s="53">
        <f aca="true" t="shared" si="3" ref="D37:I37">D10+D13+D14+D17</f>
        <v>94.62</v>
      </c>
      <c r="E37" s="53">
        <f t="shared" si="3"/>
        <v>99.16</v>
      </c>
      <c r="F37" s="53">
        <f t="shared" si="3"/>
        <v>142.97</v>
      </c>
      <c r="G37" s="53">
        <f t="shared" si="3"/>
        <v>142.97</v>
      </c>
      <c r="H37" s="53">
        <f t="shared" si="3"/>
        <v>142.97</v>
      </c>
      <c r="I37" s="53">
        <f t="shared" si="3"/>
        <v>150.03271800000002</v>
      </c>
    </row>
    <row r="38" spans="1:9" ht="15">
      <c r="A38" s="568"/>
      <c r="B38" s="558"/>
      <c r="C38" s="633"/>
      <c r="D38" s="558"/>
      <c r="E38" s="558"/>
      <c r="F38" s="558"/>
      <c r="G38" s="558"/>
      <c r="H38" s="558"/>
      <c r="I38" s="558"/>
    </row>
    <row r="39" spans="1:9" ht="15">
      <c r="A39" s="564" t="s">
        <v>350</v>
      </c>
      <c r="B39" s="566"/>
      <c r="C39" s="638"/>
      <c r="D39" s="566"/>
      <c r="E39" s="566"/>
      <c r="F39" s="566"/>
      <c r="G39" s="566"/>
      <c r="H39" s="566"/>
      <c r="I39" s="566"/>
    </row>
    <row r="40" spans="1:9" ht="15">
      <c r="A40" s="565"/>
      <c r="B40" s="566"/>
      <c r="C40" s="638"/>
      <c r="D40" s="566"/>
      <c r="E40" s="566"/>
      <c r="F40" s="566"/>
      <c r="G40" s="566"/>
      <c r="H40" s="566"/>
      <c r="I40" s="566"/>
    </row>
    <row r="41" spans="1:9" ht="15">
      <c r="A41" s="886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  <c r="B41" s="568"/>
      <c r="C41" s="638"/>
      <c r="D41" s="566"/>
      <c r="E41" s="566"/>
      <c r="F41" s="566"/>
      <c r="G41" s="566"/>
      <c r="H41" s="566"/>
      <c r="I41" s="566"/>
    </row>
    <row r="42" spans="2:9" ht="15">
      <c r="B42" s="1008" t="s">
        <v>219</v>
      </c>
      <c r="C42" s="638"/>
      <c r="D42" s="566"/>
      <c r="E42" s="566"/>
      <c r="F42" s="566"/>
      <c r="G42" s="566"/>
      <c r="H42" s="566"/>
      <c r="I42" s="566"/>
    </row>
    <row r="43" spans="1:9" ht="15">
      <c r="A43" s="567"/>
      <c r="B43" s="566"/>
      <c r="C43" s="638"/>
      <c r="D43" s="566"/>
      <c r="E43" s="566"/>
      <c r="F43" s="566"/>
      <c r="G43" s="566"/>
      <c r="H43" s="566"/>
      <c r="I43" s="566"/>
    </row>
    <row r="44" spans="1:9" ht="15">
      <c r="A44" s="568"/>
      <c r="B44" s="558"/>
      <c r="C44" s="633"/>
      <c r="D44" s="558"/>
      <c r="E44" s="558"/>
      <c r="F44" s="566"/>
      <c r="G44" s="566"/>
      <c r="H44" s="566"/>
      <c r="I44" s="566"/>
    </row>
    <row r="45" spans="1:9" ht="120">
      <c r="A45" s="1585" t="s">
        <v>238</v>
      </c>
      <c r="B45" s="1598" t="s">
        <v>362</v>
      </c>
      <c r="C45" s="844" t="s">
        <v>485</v>
      </c>
      <c r="D45" s="1585" t="s">
        <v>486</v>
      </c>
      <c r="E45" s="1585" t="s">
        <v>487</v>
      </c>
      <c r="F45" s="610"/>
      <c r="G45" s="566"/>
      <c r="H45" s="566"/>
      <c r="I45" s="566"/>
    </row>
    <row r="46" spans="1:9" ht="15">
      <c r="A46" s="1585"/>
      <c r="B46" s="1598"/>
      <c r="C46" s="888" t="s">
        <v>280</v>
      </c>
      <c r="D46" s="1585"/>
      <c r="E46" s="1585"/>
      <c r="F46" s="640"/>
      <c r="G46" s="600"/>
      <c r="H46" s="600"/>
      <c r="I46" s="600"/>
    </row>
    <row r="47" spans="1:9" ht="15">
      <c r="A47" s="9">
        <v>1</v>
      </c>
      <c r="B47" s="9">
        <v>2</v>
      </c>
      <c r="C47" s="9">
        <v>3</v>
      </c>
      <c r="D47" s="9">
        <v>4</v>
      </c>
      <c r="E47" s="9">
        <v>5</v>
      </c>
      <c r="F47" s="600"/>
      <c r="G47" s="600"/>
      <c r="H47" s="600"/>
      <c r="I47" s="600"/>
    </row>
    <row r="48" spans="1:9" ht="22.5">
      <c r="A48" s="601"/>
      <c r="B48" s="889" t="s">
        <v>488</v>
      </c>
      <c r="C48" s="9"/>
      <c r="D48" s="9"/>
      <c r="E48" s="297"/>
      <c r="F48" s="600"/>
      <c r="G48" s="600"/>
      <c r="H48" s="600"/>
      <c r="I48" s="600"/>
    </row>
    <row r="49" spans="1:9" ht="15">
      <c r="A49" s="601">
        <v>1</v>
      </c>
      <c r="B49" s="602" t="s">
        <v>368</v>
      </c>
      <c r="C49" s="297"/>
      <c r="D49" s="27">
        <f>IF($C$59=0,0,C49/$C$59*100)</f>
        <v>0</v>
      </c>
      <c r="E49" s="27">
        <f>$E$48*D49/100</f>
        <v>0</v>
      </c>
      <c r="F49" s="558"/>
      <c r="G49" s="566"/>
      <c r="H49" s="566"/>
      <c r="I49" s="566"/>
    </row>
    <row r="50" spans="1:9" ht="15">
      <c r="A50" s="603" t="str">
        <f>A$49&amp;"."&amp;ROW(A1)</f>
        <v>1.1</v>
      </c>
      <c r="B50" s="604"/>
      <c r="C50" s="297"/>
      <c r="D50" s="27">
        <f>IF($C$59=0,0,C50/$C$59*100)</f>
        <v>0</v>
      </c>
      <c r="E50" s="27">
        <f>$E$48*D50/100</f>
        <v>0</v>
      </c>
      <c r="F50" s="566"/>
      <c r="G50" s="566"/>
      <c r="H50" s="566"/>
      <c r="I50" s="566"/>
    </row>
    <row r="51" spans="1:9" ht="15">
      <c r="A51" s="603" t="str">
        <f>A$49&amp;"."&amp;ROW(A2)</f>
        <v>1.2</v>
      </c>
      <c r="B51" s="604"/>
      <c r="C51" s="297"/>
      <c r="D51" s="27">
        <f>IF($C$59=0,0,C51/$C$59*100)</f>
        <v>0</v>
      </c>
      <c r="E51" s="27">
        <f>$E$48*D51/100</f>
        <v>0</v>
      </c>
      <c r="F51" s="566"/>
      <c r="G51" s="566"/>
      <c r="H51" s="566"/>
      <c r="I51" s="566"/>
    </row>
    <row r="52" spans="1:9" ht="15">
      <c r="A52" s="15"/>
      <c r="B52" s="16" t="s">
        <v>369</v>
      </c>
      <c r="C52" s="15"/>
      <c r="D52" s="15"/>
      <c r="E52" s="15"/>
      <c r="F52" s="586"/>
      <c r="G52" s="566"/>
      <c r="H52" s="566"/>
      <c r="I52" s="566"/>
    </row>
    <row r="53" spans="1:9" ht="15">
      <c r="A53" s="601">
        <v>2</v>
      </c>
      <c r="B53" s="602" t="s">
        <v>370</v>
      </c>
      <c r="C53" s="297"/>
      <c r="D53" s="27">
        <f>IF($C$59=0,0,C53/$C$59*100)</f>
        <v>0</v>
      </c>
      <c r="E53" s="27">
        <f>$E$48*D53/100</f>
        <v>0</v>
      </c>
      <c r="F53" s="558"/>
      <c r="G53" s="566"/>
      <c r="H53" s="566"/>
      <c r="I53" s="566"/>
    </row>
    <row r="54" spans="1:9" ht="15">
      <c r="A54" s="603" t="str">
        <f>A$53&amp;"."&amp;ROW(A1)</f>
        <v>2.1</v>
      </c>
      <c r="B54" s="604"/>
      <c r="C54" s="297"/>
      <c r="D54" s="27">
        <f>IF($C$59=0,0,C54/$C$59*100)</f>
        <v>0</v>
      </c>
      <c r="E54" s="27">
        <f>$E$48*D54/100</f>
        <v>0</v>
      </c>
      <c r="F54" s="566"/>
      <c r="G54" s="566"/>
      <c r="H54" s="566"/>
      <c r="I54" s="566"/>
    </row>
    <row r="55" spans="1:9" ht="15">
      <c r="A55" s="603" t="str">
        <f>A$53&amp;"."&amp;ROW(A2)</f>
        <v>2.2</v>
      </c>
      <c r="B55" s="604"/>
      <c r="C55" s="297"/>
      <c r="D55" s="27">
        <f>IF($C$59=0,0,C55/$C$59*100)</f>
        <v>0</v>
      </c>
      <c r="E55" s="27">
        <f>$E$48*D55/100</f>
        <v>0</v>
      </c>
      <c r="F55" s="566"/>
      <c r="G55" s="566"/>
      <c r="H55" s="566"/>
      <c r="I55" s="566"/>
    </row>
    <row r="56" spans="1:9" ht="15">
      <c r="A56" s="15"/>
      <c r="B56" s="16" t="s">
        <v>369</v>
      </c>
      <c r="C56" s="15"/>
      <c r="D56" s="15"/>
      <c r="E56" s="15"/>
      <c r="F56" s="586"/>
      <c r="G56" s="566"/>
      <c r="H56" s="566"/>
      <c r="I56" s="566"/>
    </row>
    <row r="57" spans="1:9" ht="15">
      <c r="A57" s="601">
        <v>3</v>
      </c>
      <c r="B57" s="602" t="s">
        <v>371</v>
      </c>
      <c r="C57" s="297"/>
      <c r="D57" s="27">
        <f>IF($C$59=0,0,C57/$C$59*100)</f>
        <v>0</v>
      </c>
      <c r="E57" s="27">
        <f>$E$48*D57/100</f>
        <v>0</v>
      </c>
      <c r="F57" s="558"/>
      <c r="G57" s="566"/>
      <c r="H57" s="566"/>
      <c r="I57" s="566"/>
    </row>
    <row r="58" spans="1:9" ht="15">
      <c r="A58" s="601">
        <v>4</v>
      </c>
      <c r="B58" s="602" t="s">
        <v>372</v>
      </c>
      <c r="C58" s="297"/>
      <c r="D58" s="27">
        <f>IF($C$59=0,0,C58/$C$59*100)</f>
        <v>0</v>
      </c>
      <c r="E58" s="27">
        <f>$E$48*D58/100</f>
        <v>0</v>
      </c>
      <c r="F58" s="613"/>
      <c r="G58" s="556"/>
      <c r="H58" s="556"/>
      <c r="I58" s="556"/>
    </row>
    <row r="59" spans="1:9" ht="15">
      <c r="A59" s="890"/>
      <c r="B59" s="606" t="s">
        <v>339</v>
      </c>
      <c r="C59" s="25">
        <f>SUM(C49:C58)</f>
        <v>0</v>
      </c>
      <c r="D59" s="25">
        <f>SUM(D49:D58)</f>
        <v>0</v>
      </c>
      <c r="E59" s="25">
        <f>SUM(E49:E58)</f>
        <v>0</v>
      </c>
      <c r="F59" s="558"/>
      <c r="G59" s="566"/>
      <c r="H59" s="566"/>
      <c r="I59" s="566"/>
    </row>
    <row r="60" spans="1:9" ht="15">
      <c r="A60" s="3"/>
      <c r="B60" s="4"/>
      <c r="C60" s="4"/>
      <c r="D60" s="4"/>
      <c r="E60" s="5"/>
      <c r="F60" s="6"/>
      <c r="G60" s="6"/>
      <c r="H60" s="7"/>
      <c r="I60" s="7"/>
    </row>
    <row r="61" spans="1:9" ht="15">
      <c r="A61" s="567"/>
      <c r="B61" s="566"/>
      <c r="C61" s="638"/>
      <c r="D61" s="566"/>
      <c r="E61" s="566"/>
      <c r="F61" s="566"/>
      <c r="G61" s="566"/>
      <c r="H61" s="566"/>
      <c r="I61" s="566"/>
    </row>
    <row r="62" spans="1:9" ht="15">
      <c r="A62" s="564" t="s">
        <v>350</v>
      </c>
      <c r="B62" s="566"/>
      <c r="C62" s="638"/>
      <c r="D62" s="566"/>
      <c r="E62" s="566"/>
      <c r="F62" s="566"/>
      <c r="G62" s="566"/>
      <c r="H62" s="566"/>
      <c r="I62" s="566"/>
    </row>
    <row r="63" spans="1:9" ht="15">
      <c r="A63" s="565"/>
      <c r="B63" s="566"/>
      <c r="C63" s="638"/>
      <c r="D63" s="566"/>
      <c r="E63" s="566"/>
      <c r="F63" s="566"/>
      <c r="G63" s="566"/>
      <c r="H63" s="566"/>
      <c r="I63" s="566"/>
    </row>
    <row r="64" spans="1:9" ht="15">
      <c r="A64" s="886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  <c r="B64" s="568"/>
      <c r="C64" s="638"/>
      <c r="D64" s="566"/>
      <c r="E64" s="566"/>
      <c r="F64" s="566"/>
      <c r="G64" s="566"/>
      <c r="H64" s="566"/>
      <c r="I64" s="566"/>
    </row>
    <row r="65" spans="2:9" ht="15">
      <c r="B65" s="1008" t="s">
        <v>219</v>
      </c>
      <c r="C65" s="638"/>
      <c r="D65" s="566"/>
      <c r="E65" s="566"/>
      <c r="F65" s="566"/>
      <c r="G65" s="566"/>
      <c r="H65" s="566"/>
      <c r="I65" s="566"/>
    </row>
  </sheetData>
  <sheetProtection password="CF72" sheet="1" objects="1" scenarios="1" formatColumns="0"/>
  <mergeCells count="12">
    <mergeCell ref="F6:G6"/>
    <mergeCell ref="H6:I6"/>
    <mergeCell ref="D7:D8"/>
    <mergeCell ref="E7:E8"/>
    <mergeCell ref="A45:A46"/>
    <mergeCell ref="B45:B46"/>
    <mergeCell ref="D45:D46"/>
    <mergeCell ref="E45:E46"/>
    <mergeCell ref="A6:A8"/>
    <mergeCell ref="B6:B8"/>
    <mergeCell ref="C6:C8"/>
    <mergeCell ref="D6:E6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C46 B33:B35">
      <formula1>900</formula1>
    </dataValidation>
    <dataValidation type="decimal" allowBlank="1" showErrorMessage="1" errorTitle="Ошибка" error="Допускается ввод только неотрицательных чисел!" sqref="G28:H28 D11:D12 D24:D32 G24:G27 F11:H12 D16 F16:G16 F29:I35 E11 D33:E35 E29:E32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C57:C58 E48">
      <formula1>-999999999999999000000000</formula1>
      <formula2>9.99999999999999E+23</formula2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2:AB40"/>
  <sheetViews>
    <sheetView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G38" sqref="G38"/>
    </sheetView>
  </sheetViews>
  <sheetFormatPr defaultColWidth="9.140625" defaultRowHeight="15"/>
  <cols>
    <col min="1" max="1" width="6.57421875" style="513" customWidth="1"/>
    <col min="2" max="2" width="22.140625" style="513" customWidth="1"/>
    <col min="3" max="3" width="11.57421875" style="513" customWidth="1"/>
    <col min="4" max="4" width="10.140625" style="513" customWidth="1"/>
    <col min="5" max="5" width="17.8515625" style="513" customWidth="1"/>
    <col min="6" max="28" width="12.00390625" style="513" customWidth="1"/>
    <col min="29" max="16384" width="9.140625" style="513" customWidth="1"/>
  </cols>
  <sheetData>
    <row r="1" ht="7.5" customHeight="1"/>
    <row r="2" spans="1:28" ht="15">
      <c r="A2" s="555" t="s">
        <v>504</v>
      </c>
      <c r="B2" s="555"/>
      <c r="C2" s="555"/>
      <c r="D2" s="555"/>
      <c r="E2" s="555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</row>
    <row r="3" spans="1:28" ht="15">
      <c r="A3" s="549" t="str">
        <f>Титульный!$B$10</f>
        <v>ООО "Дирекция Голицыно-3"</v>
      </c>
      <c r="B3" s="311"/>
      <c r="C3" s="311"/>
      <c r="D3" s="311"/>
      <c r="E3" s="311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</row>
    <row r="4" spans="1:28" ht="15">
      <c r="A4" s="551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314"/>
      <c r="C4" s="314"/>
      <c r="D4" s="314"/>
      <c r="E4" s="314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</row>
    <row r="5" spans="1:28" ht="15">
      <c r="A5" s="582"/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0"/>
      <c r="AA5" s="550"/>
      <c r="AB5" s="550"/>
    </row>
    <row r="6" spans="1:28" s="641" customFormat="1" ht="26.25" customHeight="1">
      <c r="A6" s="1566" t="s">
        <v>323</v>
      </c>
      <c r="B6" s="1566" t="s">
        <v>505</v>
      </c>
      <c r="C6" s="1566" t="s">
        <v>436</v>
      </c>
      <c r="D6" s="1566" t="s">
        <v>326</v>
      </c>
      <c r="E6" s="1566" t="s">
        <v>506</v>
      </c>
      <c r="F6" s="1566" t="s">
        <v>507</v>
      </c>
      <c r="G6" s="1566"/>
      <c r="H6" s="1566"/>
      <c r="I6" s="1566"/>
      <c r="J6" s="1566"/>
      <c r="K6" s="1566"/>
      <c r="L6" s="1566"/>
      <c r="M6" s="1566"/>
      <c r="N6" s="1566"/>
      <c r="O6" s="1566"/>
      <c r="P6" s="1566"/>
      <c r="Q6" s="1566" t="s">
        <v>508</v>
      </c>
      <c r="R6" s="1566"/>
      <c r="S6" s="1566"/>
      <c r="T6" s="1566"/>
      <c r="U6" s="1566"/>
      <c r="V6" s="1566"/>
      <c r="W6" s="1566" t="s">
        <v>509</v>
      </c>
      <c r="X6" s="1566"/>
      <c r="Y6" s="1566"/>
      <c r="Z6" s="1566"/>
      <c r="AA6" s="1566"/>
      <c r="AB6" s="1566"/>
    </row>
    <row r="7" spans="1:28" s="641" customFormat="1" ht="15">
      <c r="A7" s="1566"/>
      <c r="B7" s="1566"/>
      <c r="C7" s="1566"/>
      <c r="D7" s="1566"/>
      <c r="E7" s="1566"/>
      <c r="F7" s="1566" t="s">
        <v>329</v>
      </c>
      <c r="G7" s="1567"/>
      <c r="H7" s="1567"/>
      <c r="I7" s="1566" t="s">
        <v>6</v>
      </c>
      <c r="J7" s="1567"/>
      <c r="K7" s="1567"/>
      <c r="L7" s="1567"/>
      <c r="M7" s="1567"/>
      <c r="N7" s="1567"/>
      <c r="O7" s="1567"/>
      <c r="P7" s="1567"/>
      <c r="Q7" s="1566" t="s">
        <v>329</v>
      </c>
      <c r="R7" s="1567"/>
      <c r="S7" s="1567"/>
      <c r="T7" s="1566" t="s">
        <v>329</v>
      </c>
      <c r="U7" s="1567"/>
      <c r="V7" s="1567"/>
      <c r="W7" s="1566" t="s">
        <v>329</v>
      </c>
      <c r="X7" s="1567"/>
      <c r="Y7" s="1567"/>
      <c r="Z7" s="1566" t="s">
        <v>329</v>
      </c>
      <c r="AA7" s="1567"/>
      <c r="AB7" s="1567"/>
    </row>
    <row r="8" spans="1:28" s="641" customFormat="1" ht="15">
      <c r="A8" s="1566"/>
      <c r="B8" s="1566"/>
      <c r="C8" s="1566"/>
      <c r="D8" s="1566"/>
      <c r="E8" s="1566"/>
      <c r="F8" s="1599" t="s">
        <v>467</v>
      </c>
      <c r="G8" s="1567"/>
      <c r="H8" s="1567"/>
      <c r="I8" s="1599" t="s">
        <v>7</v>
      </c>
      <c r="J8" s="1567"/>
      <c r="K8" s="1567"/>
      <c r="L8" s="1599" t="s">
        <v>467</v>
      </c>
      <c r="M8" s="1567"/>
      <c r="N8" s="1567"/>
      <c r="O8" s="1566">
        <v>2015</v>
      </c>
      <c r="P8" s="1567"/>
      <c r="Q8" s="1599" t="s">
        <v>9</v>
      </c>
      <c r="R8" s="1567"/>
      <c r="S8" s="1567"/>
      <c r="T8" s="1599" t="s">
        <v>10</v>
      </c>
      <c r="U8" s="1567"/>
      <c r="V8" s="1567"/>
      <c r="W8" s="1599" t="s">
        <v>11</v>
      </c>
      <c r="X8" s="1567"/>
      <c r="Y8" s="1567"/>
      <c r="Z8" s="1599" t="s">
        <v>12</v>
      </c>
      <c r="AA8" s="1567"/>
      <c r="AB8" s="1567"/>
    </row>
    <row r="9" spans="1:28" s="641" customFormat="1" ht="33" customHeight="1">
      <c r="A9" s="1566"/>
      <c r="B9" s="1566"/>
      <c r="C9" s="1566"/>
      <c r="D9" s="1566"/>
      <c r="E9" s="1566"/>
      <c r="F9" s="58" t="s">
        <v>510</v>
      </c>
      <c r="G9" s="58" t="s">
        <v>125</v>
      </c>
      <c r="H9" s="58" t="s">
        <v>511</v>
      </c>
      <c r="I9" s="642" t="s">
        <v>512</v>
      </c>
      <c r="J9" s="58" t="s">
        <v>125</v>
      </c>
      <c r="K9" s="58" t="s">
        <v>511</v>
      </c>
      <c r="L9" s="643" t="s">
        <v>512</v>
      </c>
      <c r="M9" s="58" t="s">
        <v>125</v>
      </c>
      <c r="N9" s="58" t="s">
        <v>511</v>
      </c>
      <c r="O9" s="58" t="s">
        <v>510</v>
      </c>
      <c r="P9" s="58" t="s">
        <v>511</v>
      </c>
      <c r="Q9" s="58" t="s">
        <v>513</v>
      </c>
      <c r="R9" s="58" t="s">
        <v>125</v>
      </c>
      <c r="S9" s="58" t="s">
        <v>511</v>
      </c>
      <c r="T9" s="58" t="s">
        <v>513</v>
      </c>
      <c r="U9" s="58" t="s">
        <v>125</v>
      </c>
      <c r="V9" s="58" t="s">
        <v>511</v>
      </c>
      <c r="W9" s="58" t="s">
        <v>513</v>
      </c>
      <c r="X9" s="58" t="s">
        <v>125</v>
      </c>
      <c r="Y9" s="58" t="s">
        <v>511</v>
      </c>
      <c r="Z9" s="58" t="s">
        <v>513</v>
      </c>
      <c r="AA9" s="58" t="s">
        <v>125</v>
      </c>
      <c r="AB9" s="58" t="s">
        <v>511</v>
      </c>
    </row>
    <row r="10" spans="1:28" s="641" customFormat="1" ht="17.25" customHeight="1">
      <c r="A10" s="1566"/>
      <c r="B10" s="1566"/>
      <c r="C10" s="1566"/>
      <c r="D10" s="1566"/>
      <c r="E10" s="1566"/>
      <c r="F10" s="58" t="s">
        <v>16</v>
      </c>
      <c r="G10" s="58" t="s">
        <v>514</v>
      </c>
      <c r="H10" s="58" t="s">
        <v>458</v>
      </c>
      <c r="I10" s="58" t="s">
        <v>16</v>
      </c>
      <c r="J10" s="58" t="s">
        <v>514</v>
      </c>
      <c r="K10" s="58" t="s">
        <v>458</v>
      </c>
      <c r="L10" s="58" t="s">
        <v>16</v>
      </c>
      <c r="M10" s="58" t="s">
        <v>514</v>
      </c>
      <c r="N10" s="58" t="s">
        <v>458</v>
      </c>
      <c r="O10" s="58" t="s">
        <v>16</v>
      </c>
      <c r="P10" s="58" t="s">
        <v>458</v>
      </c>
      <c r="Q10" s="58" t="s">
        <v>16</v>
      </c>
      <c r="R10" s="58" t="s">
        <v>514</v>
      </c>
      <c r="S10" s="58" t="s">
        <v>458</v>
      </c>
      <c r="T10" s="58" t="s">
        <v>16</v>
      </c>
      <c r="U10" s="58" t="s">
        <v>514</v>
      </c>
      <c r="V10" s="58" t="s">
        <v>458</v>
      </c>
      <c r="W10" s="58" t="s">
        <v>16</v>
      </c>
      <c r="X10" s="58" t="s">
        <v>514</v>
      </c>
      <c r="Y10" s="58" t="s">
        <v>458</v>
      </c>
      <c r="Z10" s="58" t="s">
        <v>16</v>
      </c>
      <c r="AA10" s="58" t="s">
        <v>514</v>
      </c>
      <c r="AB10" s="58" t="s">
        <v>458</v>
      </c>
    </row>
    <row r="11" spans="1:28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18</v>
      </c>
      <c r="P11" s="9">
        <v>19</v>
      </c>
      <c r="Q11" s="9">
        <v>20</v>
      </c>
      <c r="R11" s="9">
        <v>21</v>
      </c>
      <c r="S11" s="9">
        <v>22</v>
      </c>
      <c r="T11" s="9">
        <v>23</v>
      </c>
      <c r="U11" s="9">
        <v>24</v>
      </c>
      <c r="V11" s="9">
        <v>25</v>
      </c>
      <c r="W11" s="9">
        <v>26</v>
      </c>
      <c r="X11" s="9">
        <v>27</v>
      </c>
      <c r="Y11" s="9">
        <v>28</v>
      </c>
      <c r="Z11" s="9">
        <v>29</v>
      </c>
      <c r="AA11" s="9">
        <v>30</v>
      </c>
      <c r="AB11" s="9">
        <v>31</v>
      </c>
    </row>
    <row r="12" spans="1:28" ht="15">
      <c r="A12" s="593">
        <v>1</v>
      </c>
      <c r="B12" s="637" t="s">
        <v>515</v>
      </c>
      <c r="C12" s="644"/>
      <c r="D12" s="644"/>
      <c r="E12" s="644"/>
      <c r="F12" s="871">
        <f>SUM(F13:F23)</f>
        <v>0</v>
      </c>
      <c r="G12" s="645"/>
      <c r="H12" s="871">
        <f>SUM(H13:H23)</f>
        <v>0</v>
      </c>
      <c r="I12" s="645"/>
      <c r="J12" s="645"/>
      <c r="K12" s="645"/>
      <c r="L12" s="645"/>
      <c r="M12" s="645"/>
      <c r="N12" s="645"/>
      <c r="O12" s="871">
        <f>SUM(O13:O23)</f>
        <v>0</v>
      </c>
      <c r="P12" s="871">
        <f>SUM(P13:P23)</f>
        <v>0</v>
      </c>
      <c r="Q12" s="871">
        <f>SUM(Q13:Q23)</f>
        <v>0</v>
      </c>
      <c r="R12" s="645"/>
      <c r="S12" s="871">
        <f>SUM(S13:S23)</f>
        <v>0</v>
      </c>
      <c r="T12" s="871">
        <f>SUM(T13:T23)</f>
        <v>0</v>
      </c>
      <c r="U12" s="645"/>
      <c r="V12" s="871">
        <f>SUM(V13:V23)</f>
        <v>0</v>
      </c>
      <c r="W12" s="871">
        <f>SUM(W13:W23)</f>
        <v>0</v>
      </c>
      <c r="X12" s="645"/>
      <c r="Y12" s="871">
        <f>SUM(Y13:Y23)</f>
        <v>0</v>
      </c>
      <c r="Z12" s="871">
        <f>SUM(Z13:Z23)</f>
        <v>0</v>
      </c>
      <c r="AA12" s="645"/>
      <c r="AB12" s="871">
        <f>SUM(AB13:AB23)</f>
        <v>0</v>
      </c>
    </row>
    <row r="13" spans="1:28" ht="15">
      <c r="A13" s="849" t="str">
        <f aca="true" t="shared" si="0" ref="A13:A22">A$12&amp;"."&amp;ROW(A1)</f>
        <v>1.1</v>
      </c>
      <c r="B13" s="226"/>
      <c r="C13" s="282"/>
      <c r="D13" s="227"/>
      <c r="E13" s="56" t="s">
        <v>516</v>
      </c>
      <c r="F13" s="225"/>
      <c r="G13" s="225"/>
      <c r="H13" s="228">
        <f aca="true" t="shared" si="1" ref="H13:H22">F13*G13</f>
        <v>0</v>
      </c>
      <c r="I13" s="225"/>
      <c r="J13" s="225"/>
      <c r="K13" s="228">
        <f aca="true" t="shared" si="2" ref="K13:K22">I13*J13</f>
        <v>0</v>
      </c>
      <c r="L13" s="225"/>
      <c r="M13" s="225"/>
      <c r="N13" s="228">
        <f aca="true" t="shared" si="3" ref="N13:N22">L13*M13</f>
        <v>0</v>
      </c>
      <c r="O13" s="228">
        <f aca="true" t="shared" si="4" ref="O13:O22">I13+L13</f>
        <v>0</v>
      </c>
      <c r="P13" s="228">
        <f aca="true" t="shared" si="5" ref="P13:P22">K13+N13</f>
        <v>0</v>
      </c>
      <c r="Q13" s="225"/>
      <c r="R13" s="225"/>
      <c r="S13" s="228">
        <f aca="true" t="shared" si="6" ref="S13:S22">Q13*R13</f>
        <v>0</v>
      </c>
      <c r="T13" s="160">
        <f aca="true" t="shared" si="7" ref="T13:T22">Q13</f>
        <v>0</v>
      </c>
      <c r="U13" s="225"/>
      <c r="V13" s="228">
        <f aca="true" t="shared" si="8" ref="V13:V22">T13*U13</f>
        <v>0</v>
      </c>
      <c r="W13" s="225">
        <f aca="true" t="shared" si="9" ref="W13:W22">Q13</f>
        <v>0</v>
      </c>
      <c r="X13" s="160">
        <f aca="true" t="shared" si="10" ref="X13:X22">U13</f>
        <v>0</v>
      </c>
      <c r="Y13" s="228">
        <f aca="true" t="shared" si="11" ref="Y13:Y22">W13*X13</f>
        <v>0</v>
      </c>
      <c r="Z13" s="160">
        <f aca="true" t="shared" si="12" ref="Z13:Z22">W13</f>
        <v>0</v>
      </c>
      <c r="AA13" s="225"/>
      <c r="AB13" s="228">
        <f aca="true" t="shared" si="13" ref="AB13:AB22">Z13*AA13</f>
        <v>0</v>
      </c>
    </row>
    <row r="14" spans="1:28" ht="15">
      <c r="A14" s="849" t="str">
        <f t="shared" si="0"/>
        <v>1.2</v>
      </c>
      <c r="B14" s="226"/>
      <c r="C14" s="282"/>
      <c r="D14" s="227"/>
      <c r="E14" s="56" t="s">
        <v>516</v>
      </c>
      <c r="F14" s="225"/>
      <c r="G14" s="225"/>
      <c r="H14" s="228">
        <f t="shared" si="1"/>
        <v>0</v>
      </c>
      <c r="I14" s="225"/>
      <c r="J14" s="225"/>
      <c r="K14" s="228">
        <f t="shared" si="2"/>
        <v>0</v>
      </c>
      <c r="L14" s="225"/>
      <c r="M14" s="225"/>
      <c r="N14" s="228">
        <f t="shared" si="3"/>
        <v>0</v>
      </c>
      <c r="O14" s="228">
        <f t="shared" si="4"/>
        <v>0</v>
      </c>
      <c r="P14" s="228">
        <f t="shared" si="5"/>
        <v>0</v>
      </c>
      <c r="Q14" s="225"/>
      <c r="R14" s="225"/>
      <c r="S14" s="228">
        <f t="shared" si="6"/>
        <v>0</v>
      </c>
      <c r="T14" s="160">
        <f t="shared" si="7"/>
        <v>0</v>
      </c>
      <c r="U14" s="225"/>
      <c r="V14" s="228">
        <f t="shared" si="8"/>
        <v>0</v>
      </c>
      <c r="W14" s="225">
        <f t="shared" si="9"/>
        <v>0</v>
      </c>
      <c r="X14" s="160">
        <f t="shared" si="10"/>
        <v>0</v>
      </c>
      <c r="Y14" s="228">
        <f t="shared" si="11"/>
        <v>0</v>
      </c>
      <c r="Z14" s="160">
        <f t="shared" si="12"/>
        <v>0</v>
      </c>
      <c r="AA14" s="225"/>
      <c r="AB14" s="228">
        <f t="shared" si="13"/>
        <v>0</v>
      </c>
    </row>
    <row r="15" spans="1:28" ht="15">
      <c r="A15" s="849" t="str">
        <f t="shared" si="0"/>
        <v>1.3</v>
      </c>
      <c r="B15" s="226"/>
      <c r="C15" s="282"/>
      <c r="D15" s="227"/>
      <c r="E15" s="56" t="s">
        <v>516</v>
      </c>
      <c r="F15" s="225"/>
      <c r="G15" s="225"/>
      <c r="H15" s="228">
        <f t="shared" si="1"/>
        <v>0</v>
      </c>
      <c r="I15" s="225"/>
      <c r="J15" s="225"/>
      <c r="K15" s="228">
        <f t="shared" si="2"/>
        <v>0</v>
      </c>
      <c r="L15" s="225"/>
      <c r="M15" s="225"/>
      <c r="N15" s="228">
        <f t="shared" si="3"/>
        <v>0</v>
      </c>
      <c r="O15" s="228">
        <f t="shared" si="4"/>
        <v>0</v>
      </c>
      <c r="P15" s="228">
        <f t="shared" si="5"/>
        <v>0</v>
      </c>
      <c r="Q15" s="225"/>
      <c r="R15" s="225"/>
      <c r="S15" s="228">
        <f t="shared" si="6"/>
        <v>0</v>
      </c>
      <c r="T15" s="160">
        <f t="shared" si="7"/>
        <v>0</v>
      </c>
      <c r="U15" s="225"/>
      <c r="V15" s="228">
        <f t="shared" si="8"/>
        <v>0</v>
      </c>
      <c r="W15" s="225">
        <f t="shared" si="9"/>
        <v>0</v>
      </c>
      <c r="X15" s="160">
        <f t="shared" si="10"/>
        <v>0</v>
      </c>
      <c r="Y15" s="228">
        <f t="shared" si="11"/>
        <v>0</v>
      </c>
      <c r="Z15" s="160">
        <f t="shared" si="12"/>
        <v>0</v>
      </c>
      <c r="AA15" s="225"/>
      <c r="AB15" s="228">
        <f t="shared" si="13"/>
        <v>0</v>
      </c>
    </row>
    <row r="16" spans="1:28" ht="15">
      <c r="A16" s="849" t="str">
        <f t="shared" si="0"/>
        <v>1.4</v>
      </c>
      <c r="B16" s="226"/>
      <c r="C16" s="282"/>
      <c r="D16" s="227"/>
      <c r="E16" s="56" t="s">
        <v>516</v>
      </c>
      <c r="F16" s="225"/>
      <c r="G16" s="225"/>
      <c r="H16" s="228">
        <f t="shared" si="1"/>
        <v>0</v>
      </c>
      <c r="I16" s="225"/>
      <c r="J16" s="225"/>
      <c r="K16" s="228">
        <f t="shared" si="2"/>
        <v>0</v>
      </c>
      <c r="L16" s="225"/>
      <c r="M16" s="225"/>
      <c r="N16" s="228">
        <f t="shared" si="3"/>
        <v>0</v>
      </c>
      <c r="O16" s="228">
        <f t="shared" si="4"/>
        <v>0</v>
      </c>
      <c r="P16" s="228">
        <f t="shared" si="5"/>
        <v>0</v>
      </c>
      <c r="Q16" s="225"/>
      <c r="R16" s="225"/>
      <c r="S16" s="228">
        <f t="shared" si="6"/>
        <v>0</v>
      </c>
      <c r="T16" s="160">
        <f t="shared" si="7"/>
        <v>0</v>
      </c>
      <c r="U16" s="225"/>
      <c r="V16" s="228">
        <f t="shared" si="8"/>
        <v>0</v>
      </c>
      <c r="W16" s="225">
        <f t="shared" si="9"/>
        <v>0</v>
      </c>
      <c r="X16" s="160">
        <f t="shared" si="10"/>
        <v>0</v>
      </c>
      <c r="Y16" s="228">
        <f t="shared" si="11"/>
        <v>0</v>
      </c>
      <c r="Z16" s="160">
        <f t="shared" si="12"/>
        <v>0</v>
      </c>
      <c r="AA16" s="225"/>
      <c r="AB16" s="228">
        <f t="shared" si="13"/>
        <v>0</v>
      </c>
    </row>
    <row r="17" spans="1:28" ht="15">
      <c r="A17" s="849" t="str">
        <f t="shared" si="0"/>
        <v>1.5</v>
      </c>
      <c r="B17" s="226"/>
      <c r="C17" s="282"/>
      <c r="D17" s="227"/>
      <c r="E17" s="56" t="s">
        <v>516</v>
      </c>
      <c r="F17" s="225"/>
      <c r="G17" s="225"/>
      <c r="H17" s="228">
        <f t="shared" si="1"/>
        <v>0</v>
      </c>
      <c r="I17" s="225"/>
      <c r="J17" s="225"/>
      <c r="K17" s="228">
        <f t="shared" si="2"/>
        <v>0</v>
      </c>
      <c r="L17" s="225"/>
      <c r="M17" s="225"/>
      <c r="N17" s="228">
        <f t="shared" si="3"/>
        <v>0</v>
      </c>
      <c r="O17" s="228">
        <f t="shared" si="4"/>
        <v>0</v>
      </c>
      <c r="P17" s="228">
        <f t="shared" si="5"/>
        <v>0</v>
      </c>
      <c r="Q17" s="225"/>
      <c r="R17" s="225"/>
      <c r="S17" s="228">
        <f t="shared" si="6"/>
        <v>0</v>
      </c>
      <c r="T17" s="160">
        <f t="shared" si="7"/>
        <v>0</v>
      </c>
      <c r="U17" s="225"/>
      <c r="V17" s="228">
        <f t="shared" si="8"/>
        <v>0</v>
      </c>
      <c r="W17" s="225">
        <f t="shared" si="9"/>
        <v>0</v>
      </c>
      <c r="X17" s="160">
        <f t="shared" si="10"/>
        <v>0</v>
      </c>
      <c r="Y17" s="228">
        <f t="shared" si="11"/>
        <v>0</v>
      </c>
      <c r="Z17" s="160">
        <f t="shared" si="12"/>
        <v>0</v>
      </c>
      <c r="AA17" s="225"/>
      <c r="AB17" s="228">
        <f t="shared" si="13"/>
        <v>0</v>
      </c>
    </row>
    <row r="18" spans="1:28" ht="15">
      <c r="A18" s="849" t="str">
        <f t="shared" si="0"/>
        <v>1.6</v>
      </c>
      <c r="B18" s="226"/>
      <c r="C18" s="282"/>
      <c r="D18" s="227"/>
      <c r="E18" s="56" t="s">
        <v>516</v>
      </c>
      <c r="F18" s="225"/>
      <c r="G18" s="225"/>
      <c r="H18" s="228">
        <f t="shared" si="1"/>
        <v>0</v>
      </c>
      <c r="I18" s="225"/>
      <c r="J18" s="225"/>
      <c r="K18" s="228">
        <f t="shared" si="2"/>
        <v>0</v>
      </c>
      <c r="L18" s="225"/>
      <c r="M18" s="225"/>
      <c r="N18" s="228">
        <f t="shared" si="3"/>
        <v>0</v>
      </c>
      <c r="O18" s="228">
        <f t="shared" si="4"/>
        <v>0</v>
      </c>
      <c r="P18" s="228">
        <f t="shared" si="5"/>
        <v>0</v>
      </c>
      <c r="Q18" s="225"/>
      <c r="R18" s="225"/>
      <c r="S18" s="228">
        <f t="shared" si="6"/>
        <v>0</v>
      </c>
      <c r="T18" s="160">
        <f t="shared" si="7"/>
        <v>0</v>
      </c>
      <c r="U18" s="225"/>
      <c r="V18" s="228">
        <f t="shared" si="8"/>
        <v>0</v>
      </c>
      <c r="W18" s="225">
        <f t="shared" si="9"/>
        <v>0</v>
      </c>
      <c r="X18" s="160">
        <f t="shared" si="10"/>
        <v>0</v>
      </c>
      <c r="Y18" s="228">
        <f t="shared" si="11"/>
        <v>0</v>
      </c>
      <c r="Z18" s="160">
        <f t="shared" si="12"/>
        <v>0</v>
      </c>
      <c r="AA18" s="225"/>
      <c r="AB18" s="228">
        <f t="shared" si="13"/>
        <v>0</v>
      </c>
    </row>
    <row r="19" spans="1:28" ht="15">
      <c r="A19" s="849" t="str">
        <f t="shared" si="0"/>
        <v>1.7</v>
      </c>
      <c r="B19" s="226"/>
      <c r="C19" s="282"/>
      <c r="D19" s="227"/>
      <c r="E19" s="56" t="s">
        <v>516</v>
      </c>
      <c r="F19" s="225"/>
      <c r="G19" s="225"/>
      <c r="H19" s="228">
        <f t="shared" si="1"/>
        <v>0</v>
      </c>
      <c r="I19" s="225"/>
      <c r="J19" s="225"/>
      <c r="K19" s="228">
        <f t="shared" si="2"/>
        <v>0</v>
      </c>
      <c r="L19" s="225"/>
      <c r="M19" s="225"/>
      <c r="N19" s="228">
        <f t="shared" si="3"/>
        <v>0</v>
      </c>
      <c r="O19" s="228">
        <f t="shared" si="4"/>
        <v>0</v>
      </c>
      <c r="P19" s="228">
        <f t="shared" si="5"/>
        <v>0</v>
      </c>
      <c r="Q19" s="225"/>
      <c r="R19" s="225"/>
      <c r="S19" s="228">
        <f t="shared" si="6"/>
        <v>0</v>
      </c>
      <c r="T19" s="160">
        <f t="shared" si="7"/>
        <v>0</v>
      </c>
      <c r="U19" s="225"/>
      <c r="V19" s="228">
        <f t="shared" si="8"/>
        <v>0</v>
      </c>
      <c r="W19" s="225">
        <f t="shared" si="9"/>
        <v>0</v>
      </c>
      <c r="X19" s="160">
        <f t="shared" si="10"/>
        <v>0</v>
      </c>
      <c r="Y19" s="228">
        <f t="shared" si="11"/>
        <v>0</v>
      </c>
      <c r="Z19" s="160">
        <f t="shared" si="12"/>
        <v>0</v>
      </c>
      <c r="AA19" s="225"/>
      <c r="AB19" s="228">
        <f t="shared" si="13"/>
        <v>0</v>
      </c>
    </row>
    <row r="20" spans="1:28" ht="15">
      <c r="A20" s="849" t="str">
        <f t="shared" si="0"/>
        <v>1.8</v>
      </c>
      <c r="B20" s="226"/>
      <c r="C20" s="282"/>
      <c r="D20" s="227"/>
      <c r="E20" s="56" t="s">
        <v>516</v>
      </c>
      <c r="F20" s="225"/>
      <c r="G20" s="225"/>
      <c r="H20" s="228">
        <f t="shared" si="1"/>
        <v>0</v>
      </c>
      <c r="I20" s="225"/>
      <c r="J20" s="225"/>
      <c r="K20" s="228">
        <f t="shared" si="2"/>
        <v>0</v>
      </c>
      <c r="L20" s="225"/>
      <c r="M20" s="225"/>
      <c r="N20" s="228">
        <f t="shared" si="3"/>
        <v>0</v>
      </c>
      <c r="O20" s="228">
        <f t="shared" si="4"/>
        <v>0</v>
      </c>
      <c r="P20" s="228">
        <f t="shared" si="5"/>
        <v>0</v>
      </c>
      <c r="Q20" s="225"/>
      <c r="R20" s="225"/>
      <c r="S20" s="228">
        <f t="shared" si="6"/>
        <v>0</v>
      </c>
      <c r="T20" s="160">
        <f t="shared" si="7"/>
        <v>0</v>
      </c>
      <c r="U20" s="225"/>
      <c r="V20" s="228">
        <f t="shared" si="8"/>
        <v>0</v>
      </c>
      <c r="W20" s="225">
        <f t="shared" si="9"/>
        <v>0</v>
      </c>
      <c r="X20" s="160">
        <f t="shared" si="10"/>
        <v>0</v>
      </c>
      <c r="Y20" s="228">
        <f t="shared" si="11"/>
        <v>0</v>
      </c>
      <c r="Z20" s="160">
        <f t="shared" si="12"/>
        <v>0</v>
      </c>
      <c r="AA20" s="225"/>
      <c r="AB20" s="228">
        <f t="shared" si="13"/>
        <v>0</v>
      </c>
    </row>
    <row r="21" spans="1:28" ht="15">
      <c r="A21" s="849" t="str">
        <f t="shared" si="0"/>
        <v>1.9</v>
      </c>
      <c r="B21" s="226"/>
      <c r="C21" s="282"/>
      <c r="D21" s="227"/>
      <c r="E21" s="56" t="s">
        <v>516</v>
      </c>
      <c r="F21" s="225"/>
      <c r="G21" s="225"/>
      <c r="H21" s="228">
        <f t="shared" si="1"/>
        <v>0</v>
      </c>
      <c r="I21" s="225"/>
      <c r="J21" s="225"/>
      <c r="K21" s="228">
        <f t="shared" si="2"/>
        <v>0</v>
      </c>
      <c r="L21" s="225"/>
      <c r="M21" s="225"/>
      <c r="N21" s="228">
        <f t="shared" si="3"/>
        <v>0</v>
      </c>
      <c r="O21" s="228">
        <f t="shared" si="4"/>
        <v>0</v>
      </c>
      <c r="P21" s="228">
        <f t="shared" si="5"/>
        <v>0</v>
      </c>
      <c r="Q21" s="225"/>
      <c r="R21" s="225"/>
      <c r="S21" s="228">
        <f t="shared" si="6"/>
        <v>0</v>
      </c>
      <c r="T21" s="160">
        <f t="shared" si="7"/>
        <v>0</v>
      </c>
      <c r="U21" s="225"/>
      <c r="V21" s="228">
        <f t="shared" si="8"/>
        <v>0</v>
      </c>
      <c r="W21" s="225">
        <f t="shared" si="9"/>
        <v>0</v>
      </c>
      <c r="X21" s="160">
        <f t="shared" si="10"/>
        <v>0</v>
      </c>
      <c r="Y21" s="228">
        <f t="shared" si="11"/>
        <v>0</v>
      </c>
      <c r="Z21" s="160">
        <f t="shared" si="12"/>
        <v>0</v>
      </c>
      <c r="AA21" s="225"/>
      <c r="AB21" s="228">
        <f t="shared" si="13"/>
        <v>0</v>
      </c>
    </row>
    <row r="22" spans="1:28" ht="15">
      <c r="A22" s="849" t="str">
        <f t="shared" si="0"/>
        <v>1.10</v>
      </c>
      <c r="B22" s="226"/>
      <c r="C22" s="282"/>
      <c r="D22" s="227"/>
      <c r="E22" s="56" t="s">
        <v>516</v>
      </c>
      <c r="F22" s="225"/>
      <c r="G22" s="225"/>
      <c r="H22" s="228">
        <f t="shared" si="1"/>
        <v>0</v>
      </c>
      <c r="I22" s="225"/>
      <c r="J22" s="225"/>
      <c r="K22" s="228">
        <f t="shared" si="2"/>
        <v>0</v>
      </c>
      <c r="L22" s="225"/>
      <c r="M22" s="225"/>
      <c r="N22" s="228">
        <f t="shared" si="3"/>
        <v>0</v>
      </c>
      <c r="O22" s="228">
        <f t="shared" si="4"/>
        <v>0</v>
      </c>
      <c r="P22" s="228">
        <f t="shared" si="5"/>
        <v>0</v>
      </c>
      <c r="Q22" s="225"/>
      <c r="R22" s="225"/>
      <c r="S22" s="228">
        <f t="shared" si="6"/>
        <v>0</v>
      </c>
      <c r="T22" s="160">
        <f t="shared" si="7"/>
        <v>0</v>
      </c>
      <c r="U22" s="225"/>
      <c r="V22" s="228">
        <f t="shared" si="8"/>
        <v>0</v>
      </c>
      <c r="W22" s="225">
        <f t="shared" si="9"/>
        <v>0</v>
      </c>
      <c r="X22" s="160">
        <f t="shared" si="10"/>
        <v>0</v>
      </c>
      <c r="Y22" s="228">
        <f t="shared" si="11"/>
        <v>0</v>
      </c>
      <c r="Z22" s="160">
        <f t="shared" si="12"/>
        <v>0</v>
      </c>
      <c r="AA22" s="225"/>
      <c r="AB22" s="228">
        <f t="shared" si="13"/>
        <v>0</v>
      </c>
    </row>
    <row r="23" spans="1:28" ht="15">
      <c r="A23" s="847"/>
      <c r="B23" s="870"/>
      <c r="C23" s="15"/>
      <c r="D23" s="32"/>
      <c r="E23" s="15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</row>
    <row r="24" spans="1:28" ht="15">
      <c r="A24" s="593">
        <v>2</v>
      </c>
      <c r="B24" s="637" t="s">
        <v>517</v>
      </c>
      <c r="C24" s="644"/>
      <c r="D24" s="644"/>
      <c r="E24" s="644"/>
      <c r="F24" s="871">
        <f>SUM(F25:F28)</f>
        <v>0</v>
      </c>
      <c r="G24" s="645"/>
      <c r="H24" s="871">
        <f>SUM(H25:H28)</f>
        <v>0</v>
      </c>
      <c r="I24" s="645"/>
      <c r="J24" s="645"/>
      <c r="K24" s="645"/>
      <c r="L24" s="645"/>
      <c r="M24" s="645"/>
      <c r="N24" s="645"/>
      <c r="O24" s="871">
        <f>SUM(O25:O28)</f>
        <v>0</v>
      </c>
      <c r="P24" s="871">
        <f>SUM(P25:P28)</f>
        <v>0</v>
      </c>
      <c r="Q24" s="871">
        <f>SUM(Q25:Q28)</f>
        <v>0</v>
      </c>
      <c r="R24" s="645"/>
      <c r="S24" s="871">
        <f>SUM(S25:S28)</f>
        <v>0</v>
      </c>
      <c r="T24" s="871">
        <f>SUM(T25:T28)</f>
        <v>0</v>
      </c>
      <c r="U24" s="645"/>
      <c r="V24" s="871">
        <f>SUM(V25:V28)</f>
        <v>0</v>
      </c>
      <c r="W24" s="871">
        <f>SUM(W25:W28)</f>
        <v>0</v>
      </c>
      <c r="X24" s="645"/>
      <c r="Y24" s="871">
        <f>SUM(Y25:Y28)</f>
        <v>0</v>
      </c>
      <c r="Z24" s="871">
        <f>SUM(Z25:Z28)</f>
        <v>0</v>
      </c>
      <c r="AA24" s="160"/>
      <c r="AB24" s="871">
        <f>SUM(AB25:AB28)</f>
        <v>0</v>
      </c>
    </row>
    <row r="25" spans="1:28" ht="15">
      <c r="A25" s="849" t="str">
        <f>A$24&amp;"."&amp;ROW(A1)</f>
        <v>2.1</v>
      </c>
      <c r="B25" s="226"/>
      <c r="C25" s="282"/>
      <c r="D25" s="227"/>
      <c r="E25" s="56" t="s">
        <v>223</v>
      </c>
      <c r="F25" s="225"/>
      <c r="G25" s="225"/>
      <c r="H25" s="228">
        <f>F25*G25</f>
        <v>0</v>
      </c>
      <c r="I25" s="225"/>
      <c r="J25" s="225"/>
      <c r="K25" s="228">
        <f>I25*J25</f>
        <v>0</v>
      </c>
      <c r="L25" s="225"/>
      <c r="M25" s="225"/>
      <c r="N25" s="228">
        <f>L25*M25</f>
        <v>0</v>
      </c>
      <c r="O25" s="228">
        <f>I25+L25</f>
        <v>0</v>
      </c>
      <c r="P25" s="228">
        <f>K25+N25</f>
        <v>0</v>
      </c>
      <c r="Q25" s="225"/>
      <c r="R25" s="225"/>
      <c r="S25" s="228">
        <f>Q25*R25</f>
        <v>0</v>
      </c>
      <c r="T25" s="160">
        <f>Q25</f>
        <v>0</v>
      </c>
      <c r="U25" s="225"/>
      <c r="V25" s="228">
        <f>T25*U25</f>
        <v>0</v>
      </c>
      <c r="W25" s="225"/>
      <c r="X25" s="160">
        <f>U25</f>
        <v>0</v>
      </c>
      <c r="Y25" s="228">
        <f>W25*X25</f>
        <v>0</v>
      </c>
      <c r="Z25" s="160">
        <f>W25</f>
        <v>0</v>
      </c>
      <c r="AA25" s="225"/>
      <c r="AB25" s="228">
        <f>Z25*AA25</f>
        <v>0</v>
      </c>
    </row>
    <row r="26" spans="1:28" ht="15">
      <c r="A26" s="849" t="str">
        <f>A$24&amp;"."&amp;ROW(A2)</f>
        <v>2.2</v>
      </c>
      <c r="B26" s="226"/>
      <c r="C26" s="282"/>
      <c r="D26" s="227"/>
      <c r="E26" s="56" t="s">
        <v>223</v>
      </c>
      <c r="F26" s="225"/>
      <c r="G26" s="225"/>
      <c r="H26" s="228">
        <f>F26*G26</f>
        <v>0</v>
      </c>
      <c r="I26" s="225"/>
      <c r="J26" s="225"/>
      <c r="K26" s="228">
        <f>I26*J26</f>
        <v>0</v>
      </c>
      <c r="L26" s="225"/>
      <c r="M26" s="225"/>
      <c r="N26" s="228">
        <f>L26*M26</f>
        <v>0</v>
      </c>
      <c r="O26" s="228">
        <f>I26+L26</f>
        <v>0</v>
      </c>
      <c r="P26" s="228">
        <f>K26+N26</f>
        <v>0</v>
      </c>
      <c r="Q26" s="225"/>
      <c r="R26" s="225"/>
      <c r="S26" s="228">
        <f>Q26*R26</f>
        <v>0</v>
      </c>
      <c r="T26" s="160">
        <f>Q26</f>
        <v>0</v>
      </c>
      <c r="U26" s="225"/>
      <c r="V26" s="228">
        <f>T26*U26</f>
        <v>0</v>
      </c>
      <c r="W26" s="225"/>
      <c r="X26" s="160">
        <f>U26</f>
        <v>0</v>
      </c>
      <c r="Y26" s="228">
        <f>W26*X26</f>
        <v>0</v>
      </c>
      <c r="Z26" s="160">
        <f>W26</f>
        <v>0</v>
      </c>
      <c r="AA26" s="225"/>
      <c r="AB26" s="228">
        <f>Z26*AA26</f>
        <v>0</v>
      </c>
    </row>
    <row r="27" spans="1:28" ht="15">
      <c r="A27" s="849" t="str">
        <f>A$24&amp;"."&amp;ROW(A3)</f>
        <v>2.3</v>
      </c>
      <c r="B27" s="226"/>
      <c r="C27" s="282"/>
      <c r="D27" s="227"/>
      <c r="E27" s="56" t="s">
        <v>223</v>
      </c>
      <c r="F27" s="225"/>
      <c r="G27" s="225"/>
      <c r="H27" s="228">
        <f>F27*G27</f>
        <v>0</v>
      </c>
      <c r="I27" s="225"/>
      <c r="J27" s="225"/>
      <c r="K27" s="228">
        <f>I27*J27</f>
        <v>0</v>
      </c>
      <c r="L27" s="225"/>
      <c r="M27" s="225"/>
      <c r="N27" s="228">
        <f>L27*M27</f>
        <v>0</v>
      </c>
      <c r="O27" s="228">
        <f>I27+L27</f>
        <v>0</v>
      </c>
      <c r="P27" s="228">
        <f>K27+N27</f>
        <v>0</v>
      </c>
      <c r="Q27" s="225"/>
      <c r="R27" s="225"/>
      <c r="S27" s="228">
        <f>Q27*R27</f>
        <v>0</v>
      </c>
      <c r="T27" s="160">
        <f>Q27</f>
        <v>0</v>
      </c>
      <c r="U27" s="225"/>
      <c r="V27" s="228">
        <f>T27*U27</f>
        <v>0</v>
      </c>
      <c r="W27" s="225"/>
      <c r="X27" s="160">
        <f>U27</f>
        <v>0</v>
      </c>
      <c r="Y27" s="228">
        <f>W27*X27</f>
        <v>0</v>
      </c>
      <c r="Z27" s="160">
        <f>W27</f>
        <v>0</v>
      </c>
      <c r="AA27" s="225"/>
      <c r="AB27" s="228">
        <f>Z27*AA27</f>
        <v>0</v>
      </c>
    </row>
    <row r="28" spans="1:28" ht="15">
      <c r="A28" s="847"/>
      <c r="B28" s="870"/>
      <c r="C28" s="15"/>
      <c r="D28" s="32"/>
      <c r="E28" s="15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27" customHeight="1">
      <c r="A29" s="593">
        <v>3</v>
      </c>
      <c r="B29" s="637" t="s">
        <v>518</v>
      </c>
      <c r="C29" s="644"/>
      <c r="D29" s="644"/>
      <c r="E29" s="644"/>
      <c r="F29" s="871">
        <f>SUM(F30:F33)</f>
        <v>0</v>
      </c>
      <c r="G29" s="645"/>
      <c r="H29" s="871">
        <f>SUM(H30:H33)</f>
        <v>0</v>
      </c>
      <c r="I29" s="645"/>
      <c r="J29" s="645"/>
      <c r="K29" s="645"/>
      <c r="L29" s="645"/>
      <c r="M29" s="645"/>
      <c r="N29" s="645"/>
      <c r="O29" s="871">
        <f>SUM(O30:O33)</f>
        <v>0</v>
      </c>
      <c r="P29" s="871">
        <f>SUM(P30:P33)</f>
        <v>0</v>
      </c>
      <c r="Q29" s="871">
        <f>SUM(Q30:Q33)</f>
        <v>0</v>
      </c>
      <c r="R29" s="645"/>
      <c r="S29" s="871">
        <f>SUM(S30:S33)</f>
        <v>0</v>
      </c>
      <c r="T29" s="871">
        <f>SUM(T30:T33)</f>
        <v>0</v>
      </c>
      <c r="U29" s="645"/>
      <c r="V29" s="871">
        <f>SUM(V30:V33)</f>
        <v>0</v>
      </c>
      <c r="W29" s="871">
        <f>SUM(W30:W33)</f>
        <v>0</v>
      </c>
      <c r="X29" s="645"/>
      <c r="Y29" s="871">
        <f>SUM(Y30:Y33)</f>
        <v>0</v>
      </c>
      <c r="Z29" s="871">
        <f>SUM(Z30:Z33)</f>
        <v>0</v>
      </c>
      <c r="AA29" s="645"/>
      <c r="AB29" s="871">
        <f>SUM(AB30:AB33)</f>
        <v>0</v>
      </c>
    </row>
    <row r="30" spans="1:28" ht="31.5" customHeight="1">
      <c r="A30" s="849" t="str">
        <f>A$29&amp;"."&amp;ROW(A1)</f>
        <v>3.1</v>
      </c>
      <c r="B30" s="226"/>
      <c r="C30" s="282"/>
      <c r="D30" s="227"/>
      <c r="E30" s="56" t="s">
        <v>519</v>
      </c>
      <c r="F30" s="225"/>
      <c r="G30" s="225"/>
      <c r="H30" s="228">
        <f>F30*G30</f>
        <v>0</v>
      </c>
      <c r="I30" s="225"/>
      <c r="J30" s="225"/>
      <c r="K30" s="228">
        <f>I30*J30</f>
        <v>0</v>
      </c>
      <c r="L30" s="225"/>
      <c r="M30" s="225"/>
      <c r="N30" s="228">
        <f>L30*M30</f>
        <v>0</v>
      </c>
      <c r="O30" s="228">
        <f>I30+L30</f>
        <v>0</v>
      </c>
      <c r="P30" s="228">
        <f>K30+N30</f>
        <v>0</v>
      </c>
      <c r="Q30" s="225"/>
      <c r="R30" s="225"/>
      <c r="S30" s="228">
        <f>Q30*R30</f>
        <v>0</v>
      </c>
      <c r="T30" s="160">
        <f>Q30</f>
        <v>0</v>
      </c>
      <c r="U30" s="225"/>
      <c r="V30" s="228">
        <f>T30*U30</f>
        <v>0</v>
      </c>
      <c r="W30" s="225"/>
      <c r="X30" s="160">
        <f>U30</f>
        <v>0</v>
      </c>
      <c r="Y30" s="228">
        <f>W30*X30</f>
        <v>0</v>
      </c>
      <c r="Z30" s="160">
        <f>W30</f>
        <v>0</v>
      </c>
      <c r="AA30" s="225"/>
      <c r="AB30" s="228">
        <f>Z30*AA30</f>
        <v>0</v>
      </c>
    </row>
    <row r="31" spans="1:28" ht="31.5" customHeight="1">
      <c r="A31" s="849" t="str">
        <f>A$29&amp;"."&amp;ROW(A2)</f>
        <v>3.2</v>
      </c>
      <c r="B31" s="226"/>
      <c r="C31" s="282"/>
      <c r="D31" s="227"/>
      <c r="E31" s="56" t="s">
        <v>519</v>
      </c>
      <c r="F31" s="225"/>
      <c r="G31" s="225"/>
      <c r="H31" s="228">
        <f>F31*G31</f>
        <v>0</v>
      </c>
      <c r="I31" s="225"/>
      <c r="J31" s="225"/>
      <c r="K31" s="228">
        <f>I31*J31</f>
        <v>0</v>
      </c>
      <c r="L31" s="225"/>
      <c r="M31" s="225"/>
      <c r="N31" s="228">
        <f>L31*M31</f>
        <v>0</v>
      </c>
      <c r="O31" s="228">
        <f>I31+L31</f>
        <v>0</v>
      </c>
      <c r="P31" s="228">
        <f>K31+N31</f>
        <v>0</v>
      </c>
      <c r="Q31" s="225"/>
      <c r="R31" s="225"/>
      <c r="S31" s="228">
        <f>Q31*R31</f>
        <v>0</v>
      </c>
      <c r="T31" s="160">
        <f>Q31</f>
        <v>0</v>
      </c>
      <c r="U31" s="225"/>
      <c r="V31" s="228">
        <f>T31*U31</f>
        <v>0</v>
      </c>
      <c r="W31" s="225"/>
      <c r="X31" s="160">
        <f>U31</f>
        <v>0</v>
      </c>
      <c r="Y31" s="228">
        <f>W31*X31</f>
        <v>0</v>
      </c>
      <c r="Z31" s="160">
        <f>W31</f>
        <v>0</v>
      </c>
      <c r="AA31" s="225"/>
      <c r="AB31" s="228">
        <f>Z31*AA31</f>
        <v>0</v>
      </c>
    </row>
    <row r="32" spans="1:28" ht="31.5" customHeight="1">
      <c r="A32" s="849" t="str">
        <f>A$29&amp;"."&amp;ROW(A3)</f>
        <v>3.3</v>
      </c>
      <c r="B32" s="226"/>
      <c r="C32" s="282"/>
      <c r="D32" s="227"/>
      <c r="E32" s="56" t="s">
        <v>519</v>
      </c>
      <c r="F32" s="225"/>
      <c r="G32" s="225"/>
      <c r="H32" s="228">
        <f>F32*G32</f>
        <v>0</v>
      </c>
      <c r="I32" s="225"/>
      <c r="J32" s="225"/>
      <c r="K32" s="228">
        <f>I32*J32</f>
        <v>0</v>
      </c>
      <c r="L32" s="225"/>
      <c r="M32" s="225"/>
      <c r="N32" s="228">
        <f>L32*M32</f>
        <v>0</v>
      </c>
      <c r="O32" s="228">
        <f>I32+L32</f>
        <v>0</v>
      </c>
      <c r="P32" s="228">
        <f>K32+N32</f>
        <v>0</v>
      </c>
      <c r="Q32" s="225"/>
      <c r="R32" s="225"/>
      <c r="S32" s="228">
        <f>Q32*R32</f>
        <v>0</v>
      </c>
      <c r="T32" s="160">
        <f>Q32</f>
        <v>0</v>
      </c>
      <c r="U32" s="225"/>
      <c r="V32" s="228">
        <f>T32*U32</f>
        <v>0</v>
      </c>
      <c r="W32" s="225"/>
      <c r="X32" s="160">
        <f>U32</f>
        <v>0</v>
      </c>
      <c r="Y32" s="228">
        <f>W32*X32</f>
        <v>0</v>
      </c>
      <c r="Z32" s="160">
        <f>W32</f>
        <v>0</v>
      </c>
      <c r="AA32" s="225"/>
      <c r="AB32" s="228">
        <f>Z32*AA32</f>
        <v>0</v>
      </c>
    </row>
    <row r="33" spans="1:28" ht="15">
      <c r="A33" s="15"/>
      <c r="B33" s="870"/>
      <c r="C33" s="15"/>
      <c r="D33" s="15"/>
      <c r="E33" s="15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28" ht="15">
      <c r="A34" s="593"/>
      <c r="B34" s="637" t="s">
        <v>339</v>
      </c>
      <c r="C34" s="644"/>
      <c r="D34" s="644"/>
      <c r="E34" s="644"/>
      <c r="F34" s="871">
        <f>F12+F24+F29</f>
        <v>0</v>
      </c>
      <c r="G34" s="645"/>
      <c r="H34" s="871">
        <f>H12+H24+H29</f>
        <v>0</v>
      </c>
      <c r="I34" s="645"/>
      <c r="J34" s="645"/>
      <c r="K34" s="645"/>
      <c r="L34" s="645"/>
      <c r="M34" s="645"/>
      <c r="N34" s="645"/>
      <c r="O34" s="871">
        <f>O12+O24+O29</f>
        <v>0</v>
      </c>
      <c r="P34" s="871">
        <f>P12+P24+P29</f>
        <v>0</v>
      </c>
      <c r="Q34" s="871">
        <f>Q12+Q24+Q29</f>
        <v>0</v>
      </c>
      <c r="R34" s="645"/>
      <c r="S34" s="871">
        <f>S12+S24+S29</f>
        <v>0</v>
      </c>
      <c r="T34" s="871">
        <f>T12+T24+T29</f>
        <v>0</v>
      </c>
      <c r="U34" s="645"/>
      <c r="V34" s="871">
        <f>V12+V24+V29</f>
        <v>0</v>
      </c>
      <c r="W34" s="871">
        <f>W12+W24+W29</f>
        <v>0</v>
      </c>
      <c r="X34" s="645"/>
      <c r="Y34" s="871">
        <f>Y12+Y24+Y29</f>
        <v>0</v>
      </c>
      <c r="Z34" s="871">
        <f>Z12+Z24+Z29</f>
        <v>0</v>
      </c>
      <c r="AA34" s="645"/>
      <c r="AB34" s="871">
        <f>AB12+AB24+AB29</f>
        <v>0</v>
      </c>
    </row>
    <row r="35" spans="1:28" ht="15">
      <c r="A35" s="3"/>
      <c r="B35" s="4"/>
      <c r="C35" s="4"/>
      <c r="D35" s="4"/>
      <c r="E35" s="5"/>
      <c r="F35" s="6"/>
      <c r="G35" s="6"/>
      <c r="H35" s="7"/>
      <c r="I35" s="7"/>
      <c r="J35" s="7"/>
      <c r="K35" s="7"/>
      <c r="L35" s="7"/>
      <c r="M35" s="7"/>
      <c r="N35" s="30"/>
      <c r="O35" s="646"/>
      <c r="P35" s="646"/>
      <c r="Q35" s="646"/>
      <c r="R35" s="646"/>
      <c r="S35" s="646"/>
      <c r="T35" s="646"/>
      <c r="U35" s="646"/>
      <c r="V35" s="646"/>
      <c r="W35" s="646"/>
      <c r="X35" s="646"/>
      <c r="Y35" s="646"/>
      <c r="Z35" s="646"/>
      <c r="AA35" s="646"/>
      <c r="AB35" s="646"/>
    </row>
    <row r="36" spans="1:28" ht="15">
      <c r="A36" s="565"/>
      <c r="B36" s="565"/>
      <c r="C36" s="558"/>
      <c r="D36" s="558"/>
      <c r="E36" s="568"/>
      <c r="F36" s="558"/>
      <c r="G36" s="558"/>
      <c r="H36" s="558"/>
      <c r="I36" s="558"/>
      <c r="J36" s="558"/>
      <c r="K36" s="558"/>
      <c r="L36" s="558"/>
      <c r="M36" s="558"/>
      <c r="N36" s="558"/>
      <c r="O36" s="610"/>
      <c r="P36" s="558"/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</row>
    <row r="37" spans="1:28" ht="15">
      <c r="A37" s="564" t="s">
        <v>350</v>
      </c>
      <c r="B37" s="565"/>
      <c r="C37" s="558"/>
      <c r="D37" s="558"/>
      <c r="E37" s="568"/>
      <c r="F37" s="558"/>
      <c r="G37" s="558"/>
      <c r="H37" s="558"/>
      <c r="I37" s="558"/>
      <c r="J37" s="558"/>
      <c r="K37" s="558"/>
      <c r="L37" s="558"/>
      <c r="M37" s="558"/>
      <c r="N37" s="558"/>
      <c r="O37" s="610"/>
      <c r="P37" s="558"/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</row>
    <row r="38" spans="1:28" ht="15">
      <c r="A38" s="565"/>
      <c r="B38" s="566"/>
      <c r="C38" s="566"/>
      <c r="D38" s="566"/>
      <c r="E38" s="566"/>
      <c r="F38" s="566"/>
      <c r="G38" s="566"/>
      <c r="H38" s="566"/>
      <c r="I38" s="566"/>
      <c r="J38" s="566"/>
      <c r="K38" s="566"/>
      <c r="L38" s="566"/>
      <c r="M38" s="566"/>
      <c r="N38" s="566"/>
      <c r="O38" s="566"/>
      <c r="P38" s="566"/>
      <c r="Q38" s="566"/>
      <c r="R38" s="566"/>
      <c r="S38" s="566"/>
      <c r="T38" s="566"/>
      <c r="U38" s="566"/>
      <c r="V38" s="566"/>
      <c r="W38" s="566"/>
      <c r="X38" s="566"/>
      <c r="Y38" s="566"/>
      <c r="Z38" s="566"/>
      <c r="AA38" s="566"/>
      <c r="AB38" s="566"/>
    </row>
    <row r="39" spans="1:28" ht="15">
      <c r="A39" s="886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  <c r="B39" s="568"/>
      <c r="C39" s="566"/>
      <c r="D39" s="566"/>
      <c r="E39" s="566"/>
      <c r="F39" s="568"/>
      <c r="G39" s="568"/>
      <c r="H39" s="568"/>
      <c r="I39" s="568"/>
      <c r="J39" s="568"/>
      <c r="K39" s="568"/>
      <c r="L39" s="568"/>
      <c r="M39" s="568"/>
      <c r="N39" s="568"/>
      <c r="O39" s="568"/>
      <c r="P39" s="568"/>
      <c r="Q39" s="568"/>
      <c r="R39" s="568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</row>
    <row r="40" ht="15">
      <c r="B40" s="1008" t="s">
        <v>219</v>
      </c>
    </row>
  </sheetData>
  <sheetProtection password="CF72" sheet="1" objects="1" scenarios="1"/>
  <mergeCells count="22">
    <mergeCell ref="Q8:S8"/>
    <mergeCell ref="T8:V8"/>
    <mergeCell ref="W8:Y8"/>
    <mergeCell ref="Z8:AB8"/>
    <mergeCell ref="Q6:V6"/>
    <mergeCell ref="W6:AB6"/>
    <mergeCell ref="F7:H7"/>
    <mergeCell ref="I7:P7"/>
    <mergeCell ref="Q7:S7"/>
    <mergeCell ref="T7:V7"/>
    <mergeCell ref="W7:Y7"/>
    <mergeCell ref="Z7:AB7"/>
    <mergeCell ref="A6:A10"/>
    <mergeCell ref="B6:B10"/>
    <mergeCell ref="C6:C10"/>
    <mergeCell ref="D6:D10"/>
    <mergeCell ref="E6:E10"/>
    <mergeCell ref="F6:P6"/>
    <mergeCell ref="F8:H8"/>
    <mergeCell ref="I8:K8"/>
    <mergeCell ref="L8:N8"/>
    <mergeCell ref="O8:P8"/>
  </mergeCells>
  <dataValidations count="3">
    <dataValidation type="decimal" allowBlank="1" showErrorMessage="1" errorTitle="Ошибка" error="Допускается ввод только действительных чисел!" sqref="E25:E27 E13:E22 E30:E32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30:D32 B25:D27 B13:D22">
      <formula1>900</formula1>
    </dataValidation>
    <dataValidation type="decimal" allowBlank="1" showErrorMessage="1" errorTitle="Ошибка" error="Допускается ввод только неотрицательных чисел!" sqref="L13:M22 I13:J22 F13:G22 T13:U22 W13:X22 Q13:R22 AA24:AA27 T30:U32 Q25:R27 L25:M27 I25:J27 F25:G27 AA13:AA22 AA30:AA32 W25:X27 T25:U27 Q30:R32 L30:M32 I30:J32 F30:G32 W30:X32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1"/>
  <dimension ref="A2:O55"/>
  <sheetViews>
    <sheetView zoomScalePageLayoutView="0" workbookViewId="0" topLeftCell="B1">
      <selection activeCell="K44" sqref="K44"/>
    </sheetView>
  </sheetViews>
  <sheetFormatPr defaultColWidth="9.140625" defaultRowHeight="15"/>
  <cols>
    <col min="1" max="1" width="9.140625" style="513" customWidth="1"/>
    <col min="2" max="2" width="22.00390625" style="513" customWidth="1"/>
    <col min="3" max="3" width="14.00390625" style="513" customWidth="1"/>
    <col min="4" max="4" width="12.57421875" style="513" customWidth="1"/>
    <col min="5" max="5" width="14.421875" style="513" customWidth="1"/>
    <col min="6" max="7" width="12.421875" style="513" customWidth="1"/>
    <col min="8" max="8" width="13.8515625" style="513" customWidth="1"/>
    <col min="9" max="9" width="10.421875" style="513" customWidth="1"/>
    <col min="10" max="10" width="12.421875" style="513" customWidth="1"/>
    <col min="11" max="12" width="11.00390625" style="513" customWidth="1"/>
    <col min="13" max="13" width="12.00390625" style="513" customWidth="1"/>
    <col min="14" max="14" width="8.8515625" style="513" customWidth="1"/>
    <col min="15" max="15" width="11.00390625" style="513" customWidth="1"/>
    <col min="16" max="16384" width="9.140625" style="513" customWidth="1"/>
  </cols>
  <sheetData>
    <row r="2" spans="1:15" ht="15.75">
      <c r="A2" s="648" t="s">
        <v>520</v>
      </c>
      <c r="B2" s="649"/>
      <c r="C2" s="649"/>
      <c r="D2" s="649"/>
      <c r="E2" s="649"/>
      <c r="F2" s="650"/>
      <c r="G2" s="650"/>
      <c r="H2" s="339"/>
      <c r="I2" s="339"/>
      <c r="J2" s="339"/>
      <c r="K2" s="339"/>
      <c r="L2" s="339"/>
      <c r="M2" s="339"/>
      <c r="N2" s="339"/>
      <c r="O2" s="339"/>
    </row>
    <row r="3" spans="1:15" ht="22.5" customHeight="1">
      <c r="A3" s="549" t="str">
        <f>Титульный!$B$10</f>
        <v>ООО "Дирекция Голицыно-3"</v>
      </c>
      <c r="B3" s="651"/>
      <c r="C3" s="651"/>
      <c r="D3" s="651"/>
      <c r="E3" s="651"/>
      <c r="F3" s="484"/>
      <c r="G3" s="484"/>
      <c r="H3" s="339"/>
      <c r="I3" s="339"/>
      <c r="J3" s="339"/>
      <c r="K3" s="339"/>
      <c r="L3" s="339"/>
      <c r="M3" s="339"/>
      <c r="N3" s="339"/>
      <c r="O3" s="339"/>
    </row>
    <row r="4" spans="1:15" ht="22.5" customHeight="1">
      <c r="A4" s="551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651"/>
      <c r="C4" s="651"/>
      <c r="D4" s="651"/>
      <c r="E4" s="651"/>
      <c r="F4" s="484"/>
      <c r="G4" s="484"/>
      <c r="H4" s="339"/>
      <c r="I4" s="339"/>
      <c r="J4" s="339"/>
      <c r="K4" s="339"/>
      <c r="L4" s="339"/>
      <c r="M4" s="339"/>
      <c r="N4" s="339"/>
      <c r="O4" s="339"/>
    </row>
    <row r="5" spans="1:15" ht="22.5" customHeight="1">
      <c r="A5" s="591"/>
      <c r="B5" s="651"/>
      <c r="C5" s="651"/>
      <c r="D5" s="651"/>
      <c r="E5" s="651"/>
      <c r="F5" s="484"/>
      <c r="G5" s="484"/>
      <c r="H5" s="339"/>
      <c r="I5" s="339"/>
      <c r="J5" s="339"/>
      <c r="K5" s="339"/>
      <c r="L5" s="339"/>
      <c r="M5" s="339"/>
      <c r="N5" s="339"/>
      <c r="O5" s="339"/>
    </row>
    <row r="6" spans="1:15" ht="28.5" customHeight="1">
      <c r="A6" s="1601" t="s">
        <v>521</v>
      </c>
      <c r="B6" s="1603" t="s">
        <v>522</v>
      </c>
      <c r="C6" s="1603"/>
      <c r="D6" s="1603"/>
      <c r="E6" s="1603"/>
      <c r="F6" s="1604" t="s">
        <v>523</v>
      </c>
      <c r="G6" s="1605"/>
      <c r="H6" s="344"/>
      <c r="I6" s="339"/>
      <c r="J6" s="339"/>
      <c r="K6" s="339"/>
      <c r="L6" s="339"/>
      <c r="M6" s="339"/>
      <c r="N6" s="339"/>
      <c r="O6" s="339"/>
    </row>
    <row r="7" spans="1:15" ht="75">
      <c r="A7" s="1602"/>
      <c r="B7" s="652" t="s">
        <v>524</v>
      </c>
      <c r="C7" s="652" t="s">
        <v>525</v>
      </c>
      <c r="D7" s="652" t="s">
        <v>526</v>
      </c>
      <c r="E7" s="654" t="s">
        <v>527</v>
      </c>
      <c r="F7" s="652" t="s">
        <v>224</v>
      </c>
      <c r="G7" s="654" t="s">
        <v>225</v>
      </c>
      <c r="H7" s="344"/>
      <c r="I7" s="339"/>
      <c r="J7" s="339"/>
      <c r="K7" s="339"/>
      <c r="L7" s="339"/>
      <c r="M7" s="339"/>
      <c r="N7" s="339"/>
      <c r="O7" s="339"/>
    </row>
    <row r="8" spans="1:15" ht="15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339"/>
      <c r="I8" s="339"/>
      <c r="J8" s="339"/>
      <c r="K8" s="339"/>
      <c r="L8" s="339"/>
      <c r="M8" s="339"/>
      <c r="N8" s="339"/>
      <c r="O8" s="339"/>
    </row>
    <row r="9" spans="1:15" ht="15">
      <c r="A9" s="64"/>
      <c r="B9" s="65"/>
      <c r="C9" s="65"/>
      <c r="D9" s="65"/>
      <c r="E9" s="65"/>
      <c r="F9" s="65"/>
      <c r="G9" s="65"/>
      <c r="H9" s="655"/>
      <c r="I9" s="655"/>
      <c r="J9" s="655"/>
      <c r="K9" s="655"/>
      <c r="L9" s="655"/>
      <c r="M9" s="655"/>
      <c r="N9" s="655"/>
      <c r="O9" s="655"/>
    </row>
    <row r="10" spans="1:15" ht="15">
      <c r="A10" s="860">
        <f>ROW(A1)</f>
        <v>1</v>
      </c>
      <c r="B10" s="647" t="s">
        <v>1034</v>
      </c>
      <c r="C10" s="647" t="s">
        <v>1035</v>
      </c>
      <c r="D10" s="647" t="s">
        <v>1036</v>
      </c>
      <c r="E10" s="647" t="s">
        <v>1037</v>
      </c>
      <c r="F10" s="327">
        <v>114.66</v>
      </c>
      <c r="G10" s="327">
        <v>59.18</v>
      </c>
      <c r="H10" s="344"/>
      <c r="I10" s="339"/>
      <c r="J10" s="339"/>
      <c r="K10" s="339"/>
      <c r="L10" s="339"/>
      <c r="M10" s="339"/>
      <c r="N10" s="339"/>
      <c r="O10" s="339"/>
    </row>
    <row r="11" spans="1:15" ht="15">
      <c r="A11" s="860">
        <f>ROW(A2)</f>
        <v>2</v>
      </c>
      <c r="B11" s="647"/>
      <c r="C11" s="647"/>
      <c r="D11" s="647"/>
      <c r="E11" s="647"/>
      <c r="F11" s="327"/>
      <c r="G11" s="327"/>
      <c r="H11" s="344"/>
      <c r="I11" s="339"/>
      <c r="J11" s="339"/>
      <c r="K11" s="339"/>
      <c r="L11" s="339"/>
      <c r="M11" s="339"/>
      <c r="N11" s="339"/>
      <c r="O11" s="339"/>
    </row>
    <row r="12" spans="1:15" ht="15">
      <c r="A12" s="860">
        <f>ROW(A3)</f>
        <v>3</v>
      </c>
      <c r="B12" s="647"/>
      <c r="C12" s="647"/>
      <c r="D12" s="647"/>
      <c r="E12" s="647"/>
      <c r="F12" s="327"/>
      <c r="G12" s="327"/>
      <c r="H12" s="344"/>
      <c r="I12" s="339"/>
      <c r="J12" s="339"/>
      <c r="K12" s="339"/>
      <c r="L12" s="339"/>
      <c r="M12" s="339"/>
      <c r="N12" s="339"/>
      <c r="O12" s="339"/>
    </row>
    <row r="13" spans="1:15" ht="15">
      <c r="A13" s="66"/>
      <c r="B13" s="16" t="s">
        <v>805</v>
      </c>
      <c r="C13" s="66"/>
      <c r="D13" s="66"/>
      <c r="E13" s="66"/>
      <c r="F13" s="66"/>
      <c r="G13" s="66"/>
      <c r="H13" s="344"/>
      <c r="I13" s="339"/>
      <c r="J13" s="339"/>
      <c r="K13" s="339"/>
      <c r="L13" s="339"/>
      <c r="M13" s="339"/>
      <c r="N13" s="339"/>
      <c r="O13" s="339"/>
    </row>
    <row r="14" spans="1:15" ht="15">
      <c r="A14" s="344"/>
      <c r="B14" s="344"/>
      <c r="C14" s="344"/>
      <c r="D14" s="344"/>
      <c r="E14" s="344"/>
      <c r="F14" s="344"/>
      <c r="G14" s="344"/>
      <c r="H14" s="339"/>
      <c r="I14" s="339"/>
      <c r="J14" s="339"/>
      <c r="K14" s="339"/>
      <c r="L14" s="339"/>
      <c r="M14" s="339"/>
      <c r="N14" s="339"/>
      <c r="O14" s="339"/>
    </row>
    <row r="15" spans="1:15" ht="15.75">
      <c r="A15" s="656" t="s">
        <v>1216</v>
      </c>
      <c r="B15" s="656"/>
      <c r="C15" s="656"/>
      <c r="D15" s="656"/>
      <c r="E15" s="656"/>
      <c r="F15" s="656"/>
      <c r="G15" s="656"/>
      <c r="H15" s="657"/>
      <c r="I15" s="657"/>
      <c r="J15" s="657"/>
      <c r="K15" s="657"/>
      <c r="L15" s="657"/>
      <c r="M15" s="657"/>
      <c r="N15" s="657"/>
      <c r="O15" s="657"/>
    </row>
    <row r="16" spans="1:15" ht="15">
      <c r="A16" s="344"/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</row>
    <row r="17" spans="1:15" ht="15">
      <c r="A17" s="1601" t="s">
        <v>521</v>
      </c>
      <c r="B17" s="1600" t="s">
        <v>528</v>
      </c>
      <c r="C17" s="652" t="s">
        <v>529</v>
      </c>
      <c r="D17" s="652"/>
      <c r="E17" s="652"/>
      <c r="F17" s="652"/>
      <c r="G17" s="652"/>
      <c r="H17" s="652"/>
      <c r="I17" s="1603" t="s">
        <v>336</v>
      </c>
      <c r="J17" s="1603"/>
      <c r="K17" s="1603"/>
      <c r="L17" s="1603"/>
      <c r="M17" s="1603"/>
      <c r="N17" s="1603"/>
      <c r="O17" s="1600" t="s">
        <v>530</v>
      </c>
    </row>
    <row r="18" spans="1:15" ht="45">
      <c r="A18" s="1600"/>
      <c r="B18" s="1600"/>
      <c r="C18" s="654" t="s">
        <v>531</v>
      </c>
      <c r="D18" s="654" t="s">
        <v>532</v>
      </c>
      <c r="E18" s="654" t="s">
        <v>533</v>
      </c>
      <c r="F18" s="654" t="s">
        <v>534</v>
      </c>
      <c r="G18" s="654" t="s">
        <v>532</v>
      </c>
      <c r="H18" s="654" t="s">
        <v>533</v>
      </c>
      <c r="I18" s="654" t="s">
        <v>531</v>
      </c>
      <c r="J18" s="654" t="s">
        <v>532</v>
      </c>
      <c r="K18" s="654" t="s">
        <v>533</v>
      </c>
      <c r="L18" s="654" t="s">
        <v>534</v>
      </c>
      <c r="M18" s="654" t="s">
        <v>532</v>
      </c>
      <c r="N18" s="654" t="s">
        <v>533</v>
      </c>
      <c r="O18" s="1600"/>
    </row>
    <row r="19" spans="1:15" ht="15">
      <c r="A19" s="1600"/>
      <c r="B19" s="1600"/>
      <c r="C19" s="654" t="s">
        <v>16</v>
      </c>
      <c r="D19" s="654" t="s">
        <v>535</v>
      </c>
      <c r="E19" s="654" t="s">
        <v>50</v>
      </c>
      <c r="F19" s="654" t="s">
        <v>16</v>
      </c>
      <c r="G19" s="654" t="s">
        <v>535</v>
      </c>
      <c r="H19" s="654" t="s">
        <v>50</v>
      </c>
      <c r="I19" s="654" t="s">
        <v>16</v>
      </c>
      <c r="J19" s="654" t="s">
        <v>535</v>
      </c>
      <c r="K19" s="654" t="s">
        <v>50</v>
      </c>
      <c r="L19" s="654" t="s">
        <v>16</v>
      </c>
      <c r="M19" s="654" t="s">
        <v>535</v>
      </c>
      <c r="N19" s="654" t="s">
        <v>50</v>
      </c>
      <c r="O19" s="654" t="s">
        <v>50</v>
      </c>
    </row>
    <row r="20" spans="1:15" ht="15">
      <c r="A20" s="64">
        <v>1</v>
      </c>
      <c r="B20" s="64">
        <v>2</v>
      </c>
      <c r="C20" s="64">
        <v>3</v>
      </c>
      <c r="D20" s="64">
        <v>4</v>
      </c>
      <c r="E20" s="64">
        <v>5</v>
      </c>
      <c r="F20" s="64">
        <v>6</v>
      </c>
      <c r="G20" s="64">
        <v>7</v>
      </c>
      <c r="H20" s="64">
        <v>8</v>
      </c>
      <c r="I20" s="64">
        <v>9</v>
      </c>
      <c r="J20" s="64">
        <v>10</v>
      </c>
      <c r="K20" s="64">
        <v>11</v>
      </c>
      <c r="L20" s="64">
        <v>12</v>
      </c>
      <c r="M20" s="64">
        <v>13</v>
      </c>
      <c r="N20" s="64">
        <v>14</v>
      </c>
      <c r="O20" s="64">
        <v>15</v>
      </c>
    </row>
    <row r="21" spans="1:15" ht="15">
      <c r="A21" s="658">
        <v>1</v>
      </c>
      <c r="B21" s="658" t="s">
        <v>536</v>
      </c>
      <c r="C21" s="658"/>
      <c r="D21" s="658"/>
      <c r="E21" s="658"/>
      <c r="F21" s="658"/>
      <c r="G21" s="658"/>
      <c r="H21" s="658"/>
      <c r="I21" s="658"/>
      <c r="J21" s="658"/>
      <c r="K21" s="658"/>
      <c r="L21" s="658"/>
      <c r="M21" s="658"/>
      <c r="N21" s="658"/>
      <c r="O21" s="658"/>
    </row>
    <row r="22" spans="1:15" ht="15">
      <c r="A22" s="860" t="str">
        <f>A$21&amp;"."&amp;ROW(A1)</f>
        <v>1.1</v>
      </c>
      <c r="B22" s="326" t="s">
        <v>1038</v>
      </c>
      <c r="C22" s="327"/>
      <c r="D22" s="1190">
        <v>70</v>
      </c>
      <c r="E22" s="72">
        <f>ROUND(C22*D22,0)</f>
        <v>0</v>
      </c>
      <c r="F22" s="327"/>
      <c r="G22" s="72">
        <v>350</v>
      </c>
      <c r="H22" s="72">
        <f>ROUND(F22*G22,0)</f>
        <v>0</v>
      </c>
      <c r="I22" s="327">
        <v>19.373</v>
      </c>
      <c r="J22" s="328">
        <v>414</v>
      </c>
      <c r="K22" s="72">
        <f>ROUND(I22*J22,0)</f>
        <v>8020</v>
      </c>
      <c r="L22" s="327"/>
      <c r="M22" s="72">
        <v>1800</v>
      </c>
      <c r="N22" s="72">
        <f>ROUND(L22*M22,0)</f>
        <v>0</v>
      </c>
      <c r="O22" s="72">
        <f>E22+H22+K22+N22</f>
        <v>8020</v>
      </c>
    </row>
    <row r="23" spans="1:15" ht="15">
      <c r="A23" s="860" t="str">
        <f>A$21&amp;"."&amp;ROW(A2)</f>
        <v>1.2</v>
      </c>
      <c r="B23" s="863"/>
      <c r="C23" s="327"/>
      <c r="D23" s="1190">
        <f>D22</f>
        <v>70</v>
      </c>
      <c r="E23" s="72">
        <f>ROUND(C23*D23,0)</f>
        <v>0</v>
      </c>
      <c r="F23" s="327"/>
      <c r="G23" s="72">
        <f>G22</f>
        <v>350</v>
      </c>
      <c r="H23" s="72">
        <f>ROUND(F23*G23,0)</f>
        <v>0</v>
      </c>
      <c r="I23" s="327"/>
      <c r="J23" s="328"/>
      <c r="K23" s="72">
        <f>ROUND(I23*J23,0)</f>
        <v>0</v>
      </c>
      <c r="L23" s="327"/>
      <c r="M23" s="72">
        <f>M22</f>
        <v>1800</v>
      </c>
      <c r="N23" s="72">
        <f>ROUND(L23*M23,0)</f>
        <v>0</v>
      </c>
      <c r="O23" s="72">
        <f>E23+H23+K23+N23</f>
        <v>0</v>
      </c>
    </row>
    <row r="24" spans="1:15" ht="15">
      <c r="A24" s="860" t="str">
        <f>A$21&amp;"."&amp;ROW(A3)</f>
        <v>1.3</v>
      </c>
      <c r="B24" s="863"/>
      <c r="C24" s="327"/>
      <c r="D24" s="1190">
        <f>D23</f>
        <v>70</v>
      </c>
      <c r="E24" s="72">
        <f>ROUND(C24*D24,0)</f>
        <v>0</v>
      </c>
      <c r="F24" s="327"/>
      <c r="G24" s="72">
        <f>G23</f>
        <v>350</v>
      </c>
      <c r="H24" s="72">
        <f>ROUND(F24*G24,0)</f>
        <v>0</v>
      </c>
      <c r="I24" s="327"/>
      <c r="J24" s="328"/>
      <c r="K24" s="72">
        <f>ROUND(I24*J24,0)</f>
        <v>0</v>
      </c>
      <c r="L24" s="327"/>
      <c r="M24" s="72">
        <f>M23</f>
        <v>1800</v>
      </c>
      <c r="N24" s="72">
        <f>ROUND(L24*M24,0)</f>
        <v>0</v>
      </c>
      <c r="O24" s="72">
        <f>E24+H24+K24+N24</f>
        <v>0</v>
      </c>
    </row>
    <row r="25" spans="1:15" ht="15">
      <c r="A25" s="861"/>
      <c r="B25" s="2" t="s">
        <v>802</v>
      </c>
      <c r="C25" s="67"/>
      <c r="D25" s="1191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ht="15">
      <c r="A26" s="862"/>
      <c r="B26" s="659" t="s">
        <v>537</v>
      </c>
      <c r="C26" s="72">
        <f>SUM(C22:C25)</f>
        <v>0</v>
      </c>
      <c r="D26" s="1192"/>
      <c r="E26" s="72">
        <f>SUM(E22:E25)</f>
        <v>0</v>
      </c>
      <c r="F26" s="72">
        <f>SUM(F22:F25)</f>
        <v>0</v>
      </c>
      <c r="G26" s="68"/>
      <c r="H26" s="72">
        <f>SUM(H22:H25)</f>
        <v>0</v>
      </c>
      <c r="I26" s="72">
        <f>SUM(I22:I25)</f>
        <v>19.373</v>
      </c>
      <c r="J26" s="68"/>
      <c r="K26" s="72">
        <f>SUM(K22:K25)</f>
        <v>8020</v>
      </c>
      <c r="L26" s="72">
        <f>SUM(L22:L25)</f>
        <v>0</v>
      </c>
      <c r="M26" s="68"/>
      <c r="N26" s="72">
        <f>SUM(N22:N25)</f>
        <v>0</v>
      </c>
      <c r="O26" s="69"/>
    </row>
    <row r="27" spans="1:15" ht="15">
      <c r="A27" s="862">
        <v>2</v>
      </c>
      <c r="B27" s="658" t="s">
        <v>538</v>
      </c>
      <c r="C27" s="660"/>
      <c r="D27" s="1193"/>
      <c r="E27" s="660"/>
      <c r="F27" s="660"/>
      <c r="G27" s="660"/>
      <c r="H27" s="660"/>
      <c r="I27" s="660"/>
      <c r="J27" s="660"/>
      <c r="K27" s="660"/>
      <c r="L27" s="660"/>
      <c r="M27" s="660"/>
      <c r="N27" s="660"/>
      <c r="O27" s="660"/>
    </row>
    <row r="28" spans="1:15" ht="15">
      <c r="A28" s="860" t="str">
        <f>A$27&amp;"."&amp;ROW(A1)</f>
        <v>2.1</v>
      </c>
      <c r="B28" s="326"/>
      <c r="C28" s="327"/>
      <c r="D28" s="1190">
        <v>70</v>
      </c>
      <c r="E28" s="72">
        <f>ROUND(C28*D28,0)</f>
        <v>0</v>
      </c>
      <c r="F28" s="327"/>
      <c r="G28" s="72">
        <v>350</v>
      </c>
      <c r="H28" s="72">
        <f>ROUND(F28*G28,0)</f>
        <v>0</v>
      </c>
      <c r="I28" s="327">
        <v>26.708</v>
      </c>
      <c r="J28" s="328">
        <v>414</v>
      </c>
      <c r="K28" s="72">
        <f>ROUND(I28*J28,0)</f>
        <v>11057</v>
      </c>
      <c r="L28" s="327"/>
      <c r="M28" s="72">
        <v>1800</v>
      </c>
      <c r="N28" s="72">
        <f>ROUND(L28*M28,0)</f>
        <v>0</v>
      </c>
      <c r="O28" s="72">
        <f>E28+H28+K28+N28</f>
        <v>11057</v>
      </c>
    </row>
    <row r="29" spans="1:15" ht="15">
      <c r="A29" s="860" t="str">
        <f>A$27&amp;"."&amp;ROW(A2)</f>
        <v>2.2</v>
      </c>
      <c r="B29" s="863"/>
      <c r="C29" s="327"/>
      <c r="D29" s="1190">
        <f>D28</f>
        <v>70</v>
      </c>
      <c r="E29" s="72">
        <f>ROUND(C29*D29,0)</f>
        <v>0</v>
      </c>
      <c r="F29" s="327"/>
      <c r="G29" s="72">
        <f>G28</f>
        <v>350</v>
      </c>
      <c r="H29" s="72">
        <f>ROUND(F29*G29,0)</f>
        <v>0</v>
      </c>
      <c r="I29" s="327"/>
      <c r="J29" s="328"/>
      <c r="K29" s="72">
        <f>ROUND(I29*J29,0)</f>
        <v>0</v>
      </c>
      <c r="L29" s="327"/>
      <c r="M29" s="72">
        <f>M28</f>
        <v>1800</v>
      </c>
      <c r="N29" s="72">
        <f>ROUND(L29*M29,0)</f>
        <v>0</v>
      </c>
      <c r="O29" s="72">
        <f>E29+H29+K29+N29</f>
        <v>0</v>
      </c>
    </row>
    <row r="30" spans="1:15" ht="15">
      <c r="A30" s="861"/>
      <c r="B30" s="2" t="s">
        <v>802</v>
      </c>
      <c r="C30" s="67"/>
      <c r="D30" s="1191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5">
      <c r="A31" s="862"/>
      <c r="B31" s="659" t="s">
        <v>539</v>
      </c>
      <c r="C31" s="72">
        <f>SUM(C28:C30)</f>
        <v>0</v>
      </c>
      <c r="D31" s="1192"/>
      <c r="E31" s="72">
        <f>SUM(E28:E30)</f>
        <v>0</v>
      </c>
      <c r="F31" s="72">
        <f>SUM(F28:F30)</f>
        <v>0</v>
      </c>
      <c r="G31" s="68"/>
      <c r="H31" s="72">
        <f>SUM(H28:H30)</f>
        <v>0</v>
      </c>
      <c r="I31" s="72">
        <f>SUM(I28:I30)</f>
        <v>26.708</v>
      </c>
      <c r="J31" s="68"/>
      <c r="K31" s="72">
        <f>SUM(K28:K30)</f>
        <v>11057</v>
      </c>
      <c r="L31" s="72">
        <f>SUM(L28:L30)</f>
        <v>0</v>
      </c>
      <c r="M31" s="68"/>
      <c r="N31" s="72">
        <f>SUM(N28:N30)</f>
        <v>0</v>
      </c>
      <c r="O31" s="69"/>
    </row>
    <row r="32" spans="1:15" ht="15">
      <c r="A32" s="862">
        <v>3</v>
      </c>
      <c r="B32" s="658" t="s">
        <v>540</v>
      </c>
      <c r="C32" s="660"/>
      <c r="D32" s="1193"/>
      <c r="E32" s="660"/>
      <c r="F32" s="660"/>
      <c r="G32" s="660"/>
      <c r="H32" s="660"/>
      <c r="I32" s="660"/>
      <c r="J32" s="660"/>
      <c r="K32" s="660"/>
      <c r="L32" s="660"/>
      <c r="M32" s="660"/>
      <c r="N32" s="660"/>
      <c r="O32" s="660"/>
    </row>
    <row r="33" spans="1:15" ht="15">
      <c r="A33" s="860" t="str">
        <f>A$32&amp;"."&amp;ROW(A1)</f>
        <v>3.1</v>
      </c>
      <c r="B33" s="326"/>
      <c r="C33" s="327"/>
      <c r="D33" s="1190">
        <v>70</v>
      </c>
      <c r="E33" s="72">
        <f>ROUND(C33*D33,0)</f>
        <v>0</v>
      </c>
      <c r="F33" s="327"/>
      <c r="G33" s="72">
        <v>350</v>
      </c>
      <c r="H33" s="72">
        <f>ROUND(F33*G33,0)</f>
        <v>0</v>
      </c>
      <c r="I33" s="327">
        <v>27.687</v>
      </c>
      <c r="J33" s="328">
        <v>414</v>
      </c>
      <c r="K33" s="72">
        <f>ROUND(I33*J33,0)</f>
        <v>11462</v>
      </c>
      <c r="L33" s="327"/>
      <c r="M33" s="72">
        <v>1800</v>
      </c>
      <c r="N33" s="72">
        <f>ROUND(L33*M33,0)</f>
        <v>0</v>
      </c>
      <c r="O33" s="72">
        <f>E33+H33+K33+N33</f>
        <v>11462</v>
      </c>
    </row>
    <row r="34" spans="1:15" ht="15">
      <c r="A34" s="860" t="str">
        <f>A$32&amp;"."&amp;ROW(A2)</f>
        <v>3.2</v>
      </c>
      <c r="B34" s="863"/>
      <c r="C34" s="327"/>
      <c r="D34" s="1190">
        <f>D33</f>
        <v>70</v>
      </c>
      <c r="E34" s="72">
        <f>ROUND(C34*D34,0)</f>
        <v>0</v>
      </c>
      <c r="F34" s="327"/>
      <c r="G34" s="72">
        <f>G33</f>
        <v>350</v>
      </c>
      <c r="H34" s="72">
        <f>ROUND(F34*G34,0)</f>
        <v>0</v>
      </c>
      <c r="I34" s="327"/>
      <c r="J34" s="328"/>
      <c r="K34" s="72">
        <f>ROUND(I34*J34,0)</f>
        <v>0</v>
      </c>
      <c r="L34" s="327"/>
      <c r="M34" s="72">
        <f>M33</f>
        <v>1800</v>
      </c>
      <c r="N34" s="72">
        <f>ROUND(L34*M34,0)</f>
        <v>0</v>
      </c>
      <c r="O34" s="72">
        <f>E34+H34+K34+N34</f>
        <v>0</v>
      </c>
    </row>
    <row r="35" spans="1:15" ht="15">
      <c r="A35" s="861"/>
      <c r="B35" s="2" t="s">
        <v>802</v>
      </c>
      <c r="C35" s="67"/>
      <c r="D35" s="1191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15">
      <c r="A36" s="862"/>
      <c r="B36" s="659" t="s">
        <v>541</v>
      </c>
      <c r="C36" s="72">
        <f>SUM(C33:C35)</f>
        <v>0</v>
      </c>
      <c r="D36" s="1192"/>
      <c r="E36" s="72">
        <f>SUM(E33:E35)</f>
        <v>0</v>
      </c>
      <c r="F36" s="72">
        <f>SUM(F33:F35)</f>
        <v>0</v>
      </c>
      <c r="G36" s="68"/>
      <c r="H36" s="72">
        <f>SUM(H33:H35)</f>
        <v>0</v>
      </c>
      <c r="I36" s="72">
        <f>SUM(I33:I35)</f>
        <v>27.687</v>
      </c>
      <c r="J36" s="68"/>
      <c r="K36" s="72">
        <f>SUM(K33:K35)</f>
        <v>11462</v>
      </c>
      <c r="L36" s="72">
        <f>SUM(L33:L35)</f>
        <v>0</v>
      </c>
      <c r="M36" s="68"/>
      <c r="N36" s="72">
        <f>SUM(N33:N35)</f>
        <v>0</v>
      </c>
      <c r="O36" s="69"/>
    </row>
    <row r="37" spans="1:15" ht="15">
      <c r="A37" s="862">
        <v>4</v>
      </c>
      <c r="B37" s="658" t="s">
        <v>542</v>
      </c>
      <c r="C37" s="660"/>
      <c r="D37" s="1193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</row>
    <row r="38" spans="1:15" ht="15">
      <c r="A38" s="860" t="str">
        <f>A$37&amp;"."&amp;ROW(A1)</f>
        <v>4.1</v>
      </c>
      <c r="B38" s="326"/>
      <c r="C38" s="327"/>
      <c r="D38" s="1190">
        <v>70</v>
      </c>
      <c r="E38" s="72">
        <f>ROUND(C38*D38,0)</f>
        <v>0</v>
      </c>
      <c r="F38" s="327"/>
      <c r="G38" s="72">
        <v>350</v>
      </c>
      <c r="H38" s="72">
        <f>ROUND(F38*G38,0)</f>
        <v>0</v>
      </c>
      <c r="I38" s="327">
        <v>16.967</v>
      </c>
      <c r="J38" s="328">
        <v>414</v>
      </c>
      <c r="K38" s="72">
        <f>ROUND(I38*J38,0)</f>
        <v>7024</v>
      </c>
      <c r="L38" s="327"/>
      <c r="M38" s="72">
        <v>1800</v>
      </c>
      <c r="N38" s="72">
        <f>ROUND(L38*M38,0)</f>
        <v>0</v>
      </c>
      <c r="O38" s="72">
        <f>E38+H38+K38+N38</f>
        <v>7024</v>
      </c>
    </row>
    <row r="39" spans="1:15" ht="15">
      <c r="A39" s="860" t="str">
        <f>A$37&amp;"."&amp;ROW(A2)</f>
        <v>4.2</v>
      </c>
      <c r="B39" s="863"/>
      <c r="C39" s="327"/>
      <c r="D39" s="1190">
        <f>D38</f>
        <v>70</v>
      </c>
      <c r="E39" s="72">
        <f>ROUND(C39*D39,0)</f>
        <v>0</v>
      </c>
      <c r="F39" s="327"/>
      <c r="G39" s="72">
        <f>G38</f>
        <v>350</v>
      </c>
      <c r="H39" s="72">
        <f>ROUND(F39*G39,0)</f>
        <v>0</v>
      </c>
      <c r="I39" s="327"/>
      <c r="J39" s="328"/>
      <c r="K39" s="72">
        <f>ROUND(I39*J39,0)</f>
        <v>0</v>
      </c>
      <c r="L39" s="327"/>
      <c r="M39" s="72">
        <f>M38</f>
        <v>1800</v>
      </c>
      <c r="N39" s="72">
        <f>ROUND(L39*M39,0)</f>
        <v>0</v>
      </c>
      <c r="O39" s="72">
        <f>E39+H39+K39+N39</f>
        <v>0</v>
      </c>
    </row>
    <row r="40" spans="1:15" ht="15">
      <c r="A40" s="66"/>
      <c r="B40" s="2" t="s">
        <v>802</v>
      </c>
      <c r="C40" s="67"/>
      <c r="D40" s="1191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1:15" ht="15">
      <c r="A41" s="658"/>
      <c r="B41" s="659" t="s">
        <v>543</v>
      </c>
      <c r="C41" s="72">
        <f>SUM(C38:C40)</f>
        <v>0</v>
      </c>
      <c r="D41" s="1192"/>
      <c r="E41" s="72">
        <f>SUM(E38:E40)</f>
        <v>0</v>
      </c>
      <c r="F41" s="72">
        <f>SUM(F38:F40)</f>
        <v>0</v>
      </c>
      <c r="G41" s="68"/>
      <c r="H41" s="72">
        <f>SUM(H38:H40)</f>
        <v>0</v>
      </c>
      <c r="I41" s="72">
        <f>SUM(I38:I40)</f>
        <v>16.967</v>
      </c>
      <c r="J41" s="68"/>
      <c r="K41" s="72">
        <f>SUM(K38:K40)</f>
        <v>7024</v>
      </c>
      <c r="L41" s="72">
        <f>SUM(L38:L40)</f>
        <v>0</v>
      </c>
      <c r="M41" s="68"/>
      <c r="N41" s="72">
        <f>SUM(N38:N40)</f>
        <v>0</v>
      </c>
      <c r="O41" s="69"/>
    </row>
    <row r="42" spans="1:15" ht="32.25" customHeight="1">
      <c r="A42" s="70"/>
      <c r="B42" s="71" t="s">
        <v>1217</v>
      </c>
      <c r="C42" s="72">
        <f>C26+C31+C36+C41</f>
        <v>0</v>
      </c>
      <c r="D42" s="1192"/>
      <c r="E42" s="72">
        <f>E26+E31+E36+E41</f>
        <v>0</v>
      </c>
      <c r="F42" s="72">
        <f>F26+F31+F36+F41</f>
        <v>0</v>
      </c>
      <c r="G42" s="68"/>
      <c r="H42" s="72">
        <f>H26+H31+H36+H41</f>
        <v>0</v>
      </c>
      <c r="I42" s="72">
        <f>I26+I31+I36+I41</f>
        <v>90.735</v>
      </c>
      <c r="J42" s="68"/>
      <c r="K42" s="72">
        <f>K26+K31+K36+K41</f>
        <v>37563</v>
      </c>
      <c r="L42" s="72">
        <f>L26+L31+L36+L41</f>
        <v>0</v>
      </c>
      <c r="M42" s="68"/>
      <c r="N42" s="72">
        <f>N26+N31+N36+N41</f>
        <v>0</v>
      </c>
      <c r="O42" s="69"/>
    </row>
    <row r="43" spans="1:15" ht="15">
      <c r="A43" s="653"/>
      <c r="B43" s="653"/>
      <c r="C43" s="653"/>
      <c r="D43" s="1194"/>
      <c r="E43" s="653"/>
      <c r="F43" s="653"/>
      <c r="G43" s="653"/>
      <c r="H43" s="653"/>
      <c r="I43" s="653"/>
      <c r="J43" s="653"/>
      <c r="K43" s="653"/>
      <c r="L43" s="653"/>
      <c r="M43" s="653"/>
      <c r="N43" s="653"/>
      <c r="O43" s="653"/>
    </row>
    <row r="44" spans="1:15" ht="43.5" customHeight="1">
      <c r="A44" s="73"/>
      <c r="B44" s="74" t="s">
        <v>1215</v>
      </c>
      <c r="C44" s="329"/>
      <c r="D44" s="1195">
        <v>70</v>
      </c>
      <c r="E44" s="75">
        <f>ROUND(C44*D44,0)</f>
        <v>0</v>
      </c>
      <c r="F44" s="68"/>
      <c r="G44" s="76"/>
      <c r="H44" s="76"/>
      <c r="I44" s="329">
        <v>117</v>
      </c>
      <c r="J44" s="329">
        <f>45000/117</f>
        <v>384.61538461538464</v>
      </c>
      <c r="K44" s="75">
        <f>ROUND(I44*J44,0)</f>
        <v>45000</v>
      </c>
      <c r="L44" s="68"/>
      <c r="M44" s="76"/>
      <c r="N44" s="76"/>
      <c r="O44" s="69"/>
    </row>
    <row r="45" spans="1:15" ht="15">
      <c r="A45" s="77"/>
      <c r="B45" s="78"/>
      <c r="C45" s="78"/>
      <c r="D45" s="78"/>
      <c r="E45" s="79"/>
      <c r="F45" s="80"/>
      <c r="G45" s="80"/>
      <c r="H45" s="81"/>
      <c r="I45" s="81"/>
      <c r="J45" s="81"/>
      <c r="K45" s="81"/>
      <c r="L45" s="81"/>
      <c r="M45" s="81"/>
      <c r="N45" s="82"/>
      <c r="O45" s="661"/>
    </row>
    <row r="46" spans="1:15" ht="15">
      <c r="A46" s="339"/>
      <c r="B46" s="344"/>
      <c r="C46" s="344"/>
      <c r="D46" s="344"/>
      <c r="E46" s="344"/>
      <c r="F46" s="339"/>
      <c r="G46" s="339"/>
      <c r="H46" s="339"/>
      <c r="I46" s="339"/>
      <c r="J46" s="339"/>
      <c r="K46" s="339"/>
      <c r="L46" s="339"/>
      <c r="M46" s="339"/>
      <c r="N46" s="339"/>
      <c r="O46" s="339"/>
    </row>
    <row r="47" spans="1:15" ht="30">
      <c r="A47" s="662"/>
      <c r="B47" s="663"/>
      <c r="C47" s="652" t="s">
        <v>544</v>
      </c>
      <c r="D47" s="664" t="s">
        <v>407</v>
      </c>
      <c r="E47" s="664" t="s">
        <v>545</v>
      </c>
      <c r="F47" s="662"/>
      <c r="G47" s="650"/>
      <c r="H47" s="650"/>
      <c r="I47" s="650"/>
      <c r="J47" s="650"/>
      <c r="K47" s="650"/>
      <c r="L47" s="650"/>
      <c r="M47" s="650"/>
      <c r="N47" s="650"/>
      <c r="O47" s="650"/>
    </row>
    <row r="48" spans="1:15" ht="23.25" customHeight="1">
      <c r="A48" s="662"/>
      <c r="B48" s="665" t="s">
        <v>546</v>
      </c>
      <c r="C48" s="652" t="s">
        <v>16</v>
      </c>
      <c r="D48" s="72">
        <f>C42+F42+I42+L42</f>
        <v>90.735</v>
      </c>
      <c r="E48" s="843">
        <f>C44+I44</f>
        <v>117</v>
      </c>
      <c r="F48" s="662"/>
      <c r="G48" s="650"/>
      <c r="H48" s="650"/>
      <c r="I48" s="650"/>
      <c r="J48" s="650"/>
      <c r="K48" s="650"/>
      <c r="L48" s="650"/>
      <c r="M48" s="650"/>
      <c r="N48" s="650"/>
      <c r="O48" s="650"/>
    </row>
    <row r="49" spans="1:15" ht="32.25" customHeight="1">
      <c r="A49" s="662"/>
      <c r="B49" s="665" t="s">
        <v>547</v>
      </c>
      <c r="C49" s="652" t="s">
        <v>50</v>
      </c>
      <c r="D49" s="72">
        <f>E42+H42+K42+N42</f>
        <v>37563</v>
      </c>
      <c r="E49" s="843">
        <f>E44+K44</f>
        <v>45000</v>
      </c>
      <c r="F49" s="662"/>
      <c r="G49" s="650"/>
      <c r="H49" s="650"/>
      <c r="I49" s="650"/>
      <c r="J49" s="650"/>
      <c r="K49" s="650"/>
      <c r="L49" s="650"/>
      <c r="M49" s="650"/>
      <c r="N49" s="650"/>
      <c r="O49" s="650"/>
    </row>
    <row r="50" spans="1:15" ht="32.25" customHeight="1">
      <c r="A50" s="662"/>
      <c r="B50" s="665" t="s">
        <v>547</v>
      </c>
      <c r="C50" s="652" t="s">
        <v>46</v>
      </c>
      <c r="D50" s="72">
        <f>D49/1000</f>
        <v>37.563</v>
      </c>
      <c r="E50" s="72">
        <f>E49/1000</f>
        <v>45</v>
      </c>
      <c r="F50" s="662"/>
      <c r="G50" s="650"/>
      <c r="H50" s="650"/>
      <c r="I50" s="650"/>
      <c r="J50" s="650"/>
      <c r="K50" s="650"/>
      <c r="L50" s="650"/>
      <c r="M50" s="650"/>
      <c r="N50" s="650"/>
      <c r="O50" s="650"/>
    </row>
    <row r="51" spans="1:15" ht="15">
      <c r="A51" s="339"/>
      <c r="B51" s="344"/>
      <c r="C51" s="344"/>
      <c r="D51" s="344"/>
      <c r="E51" s="344"/>
      <c r="F51" s="339"/>
      <c r="G51" s="339"/>
      <c r="H51" s="339"/>
      <c r="I51" s="339"/>
      <c r="J51" s="339"/>
      <c r="K51" s="339"/>
      <c r="L51" s="339"/>
      <c r="M51" s="339"/>
      <c r="N51" s="339"/>
      <c r="O51" s="339"/>
    </row>
    <row r="52" spans="1:15" ht="15">
      <c r="A52" s="666" t="s">
        <v>350</v>
      </c>
      <c r="B52" s="667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</row>
    <row r="53" spans="1:15" ht="15">
      <c r="A53" s="667"/>
      <c r="B53" s="667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</row>
    <row r="54" spans="1:15" ht="15">
      <c r="A54" s="886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  <c r="B54" s="568"/>
      <c r="C54" s="339"/>
      <c r="D54" s="346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</row>
    <row r="55" ht="15">
      <c r="B55" s="1008" t="s">
        <v>219</v>
      </c>
    </row>
  </sheetData>
  <sheetProtection password="CF72" sheet="1" objects="1" scenarios="1" formatColumns="0"/>
  <mergeCells count="7">
    <mergeCell ref="O17:O18"/>
    <mergeCell ref="A6:A7"/>
    <mergeCell ref="B6:E6"/>
    <mergeCell ref="F6:G6"/>
    <mergeCell ref="A17:A19"/>
    <mergeCell ref="B17:B19"/>
    <mergeCell ref="I17:N17"/>
  </mergeCells>
  <dataValidations count="4">
    <dataValidation type="decimal" allowBlank="1" showErrorMessage="1" errorTitle="Ошибка" error="Допускается ввод только неотрицательных чисел!" sqref="F10:G12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C44 C22:C24 C28:C29 C33:C34 C38:C39 F44 F22:F24 F28:F29 F33:F34 F38:F3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22:B24 B28:B29 B33:B34 B38:B39 B10:E12">
      <formula1>900</formula1>
    </dataValidation>
    <dataValidation allowBlank="1" showInputMessage="1" showErrorMessage="1" sqref="I1:N65536"/>
  </dataValidations>
  <printOptions/>
  <pageMargins left="0.2362204724409449" right="0.2362204724409449" top="0.35433070866141736" bottom="0.35433070866141736" header="0.11811023622047245" footer="0.11811023622047245"/>
  <pageSetup fitToWidth="0"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2:K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13" customWidth="1"/>
    <col min="2" max="2" width="16.421875" style="513" customWidth="1"/>
    <col min="3" max="6" width="13.57421875" style="513" customWidth="1"/>
    <col min="7" max="9" width="15.140625" style="513" customWidth="1"/>
    <col min="10" max="10" width="16.421875" style="513" customWidth="1"/>
    <col min="11" max="11" width="15.140625" style="513" customWidth="1"/>
    <col min="12" max="16384" width="9.140625" style="513" customWidth="1"/>
  </cols>
  <sheetData>
    <row r="2" spans="1:11" s="343" customFormat="1" ht="15">
      <c r="A2" s="649" t="s">
        <v>548</v>
      </c>
      <c r="B2" s="649"/>
      <c r="C2" s="649"/>
      <c r="D2" s="649"/>
      <c r="E2" s="649"/>
      <c r="F2" s="650"/>
      <c r="G2" s="650"/>
      <c r="H2" s="650"/>
      <c r="I2" s="668"/>
      <c r="J2" s="668"/>
      <c r="K2" s="668"/>
    </row>
    <row r="3" spans="1:11" s="343" customFormat="1" ht="15">
      <c r="A3" s="549" t="str">
        <f>Титульный!$B$10</f>
        <v>ООО "Дирекция Голицыно-3"</v>
      </c>
      <c r="B3" s="669"/>
      <c r="C3" s="669"/>
      <c r="D3" s="669"/>
      <c r="E3" s="669"/>
      <c r="F3" s="484"/>
      <c r="G3" s="484"/>
      <c r="H3" s="484"/>
      <c r="I3" s="668"/>
      <c r="J3" s="668"/>
      <c r="K3" s="668"/>
    </row>
    <row r="4" spans="1:11" s="343" customFormat="1" ht="15">
      <c r="A4" s="551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670"/>
      <c r="C4" s="670"/>
      <c r="D4" s="670"/>
      <c r="E4" s="670"/>
      <c r="F4" s="670"/>
      <c r="G4" s="671"/>
      <c r="H4" s="671"/>
      <c r="I4" s="670"/>
      <c r="J4" s="671"/>
      <c r="K4" s="670"/>
    </row>
    <row r="5" spans="1:11" s="343" customFormat="1" ht="15">
      <c r="A5" s="591"/>
      <c r="B5" s="670"/>
      <c r="C5" s="670"/>
      <c r="D5" s="670"/>
      <c r="E5" s="670"/>
      <c r="F5" s="670"/>
      <c r="G5" s="671"/>
      <c r="H5" s="671"/>
      <c r="I5" s="670"/>
      <c r="J5" s="671"/>
      <c r="K5" s="670"/>
    </row>
    <row r="6" spans="1:11" s="343" customFormat="1" ht="15">
      <c r="A6" s="1608" t="s">
        <v>238</v>
      </c>
      <c r="B6" s="1608" t="s">
        <v>549</v>
      </c>
      <c r="C6" s="1608" t="s">
        <v>550</v>
      </c>
      <c r="D6" s="1608" t="s">
        <v>551</v>
      </c>
      <c r="E6" s="1608" t="s">
        <v>552</v>
      </c>
      <c r="F6" s="1608" t="s">
        <v>553</v>
      </c>
      <c r="G6" s="1606" t="s">
        <v>450</v>
      </c>
      <c r="H6" s="1606"/>
      <c r="I6" s="1606"/>
      <c r="J6" s="1606"/>
      <c r="K6" s="1607"/>
    </row>
    <row r="7" spans="1:11" s="343" customFormat="1" ht="60">
      <c r="A7" s="1608"/>
      <c r="B7" s="1608"/>
      <c r="C7" s="1608"/>
      <c r="D7" s="1608"/>
      <c r="E7" s="1608"/>
      <c r="F7" s="1608"/>
      <c r="G7" s="672" t="s">
        <v>453</v>
      </c>
      <c r="H7" s="673" t="s">
        <v>454</v>
      </c>
      <c r="I7" s="673" t="s">
        <v>455</v>
      </c>
      <c r="J7" s="673" t="s">
        <v>456</v>
      </c>
      <c r="K7" s="673" t="s">
        <v>457</v>
      </c>
    </row>
    <row r="8" spans="1:11" s="343" customFormat="1" ht="21" customHeight="1">
      <c r="A8" s="1609"/>
      <c r="B8" s="1609"/>
      <c r="C8" s="673" t="s">
        <v>554</v>
      </c>
      <c r="D8" s="673" t="s">
        <v>46</v>
      </c>
      <c r="E8" s="673" t="s">
        <v>23</v>
      </c>
      <c r="F8" s="673" t="s">
        <v>46</v>
      </c>
      <c r="G8" s="672" t="s">
        <v>46</v>
      </c>
      <c r="H8" s="673" t="s">
        <v>46</v>
      </c>
      <c r="I8" s="673" t="s">
        <v>46</v>
      </c>
      <c r="J8" s="673" t="s">
        <v>46</v>
      </c>
      <c r="K8" s="673" t="s">
        <v>46</v>
      </c>
    </row>
    <row r="9" spans="1:11" s="510" customFormat="1" ht="15">
      <c r="A9" s="682">
        <v>1</v>
      </c>
      <c r="B9" s="682">
        <v>2</v>
      </c>
      <c r="C9" s="682">
        <v>3</v>
      </c>
      <c r="D9" s="682">
        <v>4</v>
      </c>
      <c r="E9" s="682">
        <v>5</v>
      </c>
      <c r="F9" s="682">
        <v>6</v>
      </c>
      <c r="G9" s="683">
        <v>7</v>
      </c>
      <c r="H9" s="682">
        <v>8</v>
      </c>
      <c r="I9" s="682">
        <v>9</v>
      </c>
      <c r="J9" s="682">
        <v>10</v>
      </c>
      <c r="K9" s="682">
        <v>11</v>
      </c>
    </row>
    <row r="10" spans="1:11" s="343" customFormat="1" ht="15">
      <c r="A10" s="993">
        <f>ROW(A1)</f>
        <v>1</v>
      </c>
      <c r="B10" s="994"/>
      <c r="C10" s="678"/>
      <c r="D10" s="678"/>
      <c r="E10" s="679"/>
      <c r="F10" s="72">
        <f>D10*E10/100</f>
        <v>0</v>
      </c>
      <c r="G10" s="680"/>
      <c r="H10" s="681"/>
      <c r="I10" s="681"/>
      <c r="J10" s="681"/>
      <c r="K10" s="681"/>
    </row>
    <row r="11" spans="1:11" s="343" customFormat="1" ht="15">
      <c r="A11" s="993">
        <f>ROW(A2)</f>
        <v>2</v>
      </c>
      <c r="B11" s="994"/>
      <c r="C11" s="678"/>
      <c r="D11" s="678"/>
      <c r="E11" s="679"/>
      <c r="F11" s="72">
        <f>D11*E11/100</f>
        <v>0</v>
      </c>
      <c r="G11" s="680"/>
      <c r="H11" s="681"/>
      <c r="I11" s="681"/>
      <c r="J11" s="681"/>
      <c r="K11" s="681"/>
    </row>
    <row r="12" spans="1:11" s="343" customFormat="1" ht="15">
      <c r="A12" s="993">
        <f>ROW(A3)</f>
        <v>3</v>
      </c>
      <c r="B12" s="994"/>
      <c r="C12" s="678"/>
      <c r="D12" s="678"/>
      <c r="E12" s="679"/>
      <c r="F12" s="72">
        <f>D12*E12/100</f>
        <v>0</v>
      </c>
      <c r="G12" s="680"/>
      <c r="H12" s="681"/>
      <c r="I12" s="681"/>
      <c r="J12" s="681"/>
      <c r="K12" s="681"/>
    </row>
    <row r="13" spans="1:11" s="343" customFormat="1" ht="15">
      <c r="A13" s="66"/>
      <c r="B13" s="16" t="s">
        <v>802</v>
      </c>
      <c r="C13" s="67"/>
      <c r="D13" s="67"/>
      <c r="E13" s="67"/>
      <c r="F13" s="67"/>
      <c r="G13" s="323"/>
      <c r="H13" s="67"/>
      <c r="I13" s="67"/>
      <c r="J13" s="67"/>
      <c r="K13" s="67"/>
    </row>
    <row r="14" spans="1:11" s="343" customFormat="1" ht="15">
      <c r="A14" s="324"/>
      <c r="B14" s="325" t="s">
        <v>339</v>
      </c>
      <c r="C14" s="72">
        <f>SUM(C10:C13)</f>
        <v>0</v>
      </c>
      <c r="D14" s="72">
        <f>SUM(D10:D13)</f>
        <v>0</v>
      </c>
      <c r="E14" s="324"/>
      <c r="F14" s="72">
        <f aca="true" t="shared" si="0" ref="F14:K14">SUM(F10:F13)</f>
        <v>0</v>
      </c>
      <c r="G14" s="434">
        <f t="shared" si="0"/>
        <v>0</v>
      </c>
      <c r="H14" s="72">
        <f t="shared" si="0"/>
        <v>0</v>
      </c>
      <c r="I14" s="72">
        <f t="shared" si="0"/>
        <v>0</v>
      </c>
      <c r="J14" s="72">
        <f t="shared" si="0"/>
        <v>0</v>
      </c>
      <c r="K14" s="72">
        <f t="shared" si="0"/>
        <v>0</v>
      </c>
    </row>
    <row r="15" spans="1:11" s="343" customFormat="1" ht="15">
      <c r="A15" s="77"/>
      <c r="B15" s="78"/>
      <c r="C15" s="78"/>
      <c r="D15" s="78"/>
      <c r="E15" s="79"/>
      <c r="F15" s="80"/>
      <c r="G15" s="80"/>
      <c r="H15" s="81"/>
      <c r="I15" s="81"/>
      <c r="J15" s="81"/>
      <c r="K15" s="81"/>
    </row>
    <row r="16" spans="1:11" s="343" customFormat="1" ht="15">
      <c r="A16" s="674"/>
      <c r="B16" s="675"/>
      <c r="C16" s="675"/>
      <c r="D16" s="675"/>
      <c r="E16" s="79"/>
      <c r="F16" s="676"/>
      <c r="G16" s="676"/>
      <c r="H16" s="84"/>
      <c r="I16" s="84"/>
      <c r="J16" s="84"/>
      <c r="K16" s="84"/>
    </row>
    <row r="17" spans="1:11" s="343" customFormat="1" ht="15">
      <c r="A17" s="677"/>
      <c r="B17" s="677"/>
      <c r="C17" s="677"/>
      <c r="D17" s="677"/>
      <c r="E17" s="677"/>
      <c r="F17" s="677"/>
      <c r="G17" s="677"/>
      <c r="H17" s="677"/>
      <c r="I17" s="677"/>
      <c r="J17" s="677"/>
      <c r="K17" s="677"/>
    </row>
    <row r="18" spans="1:11" s="343" customFormat="1" ht="15">
      <c r="A18" s="666" t="s">
        <v>350</v>
      </c>
      <c r="B18" s="677"/>
      <c r="C18" s="677"/>
      <c r="D18" s="677"/>
      <c r="E18" s="677"/>
      <c r="F18" s="677"/>
      <c r="G18" s="677"/>
      <c r="H18" s="677"/>
      <c r="I18" s="677"/>
      <c r="J18" s="677"/>
      <c r="K18" s="677"/>
    </row>
    <row r="19" spans="1:11" s="343" customFormat="1" ht="15">
      <c r="A19" s="667"/>
      <c r="B19" s="677"/>
      <c r="C19" s="677"/>
      <c r="D19" s="677"/>
      <c r="E19" s="677"/>
      <c r="F19" s="677"/>
      <c r="G19" s="677"/>
      <c r="H19" s="677"/>
      <c r="I19" s="677"/>
      <c r="J19" s="677"/>
      <c r="K19" s="677"/>
    </row>
    <row r="20" spans="1:11" s="343" customFormat="1" ht="15">
      <c r="A20" s="886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  <c r="B20" s="568"/>
      <c r="C20" s="677"/>
      <c r="D20" s="677"/>
      <c r="E20" s="677"/>
      <c r="F20" s="677"/>
      <c r="G20" s="677"/>
      <c r="H20" s="677"/>
      <c r="I20" s="677"/>
      <c r="J20" s="677"/>
      <c r="K20" s="677"/>
    </row>
    <row r="21" spans="1:11" s="343" customFormat="1" ht="15">
      <c r="A21" s="513"/>
      <c r="B21" s="1008" t="s">
        <v>219</v>
      </c>
      <c r="C21" s="677"/>
      <c r="D21" s="677"/>
      <c r="E21" s="677"/>
      <c r="F21" s="677"/>
      <c r="G21" s="677"/>
      <c r="H21" s="677"/>
      <c r="I21" s="677"/>
      <c r="J21" s="677"/>
      <c r="K21" s="677"/>
    </row>
  </sheetData>
  <sheetProtection password="CF72" sheet="1" objects="1" scenarios="1"/>
  <mergeCells count="7">
    <mergeCell ref="G6:K6"/>
    <mergeCell ref="A6:A8"/>
    <mergeCell ref="B6:B8"/>
    <mergeCell ref="C6:C7"/>
    <mergeCell ref="D6:D7"/>
    <mergeCell ref="E6:E7"/>
    <mergeCell ref="F6:F7"/>
  </mergeCells>
  <dataValidations count="2">
    <dataValidation type="decimal" allowBlank="1" showErrorMessage="1" errorTitle="Ошибка" error="Допускается ввод только неотрицательных чисел!" sqref="C10:E12 G10:K1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0:B12">
      <formula1>900</formula1>
    </dataValidation>
  </dataValidations>
  <printOptions/>
  <pageMargins left="0.7" right="0.7" top="0.75" bottom="0.75" header="0.3" footer="0.3"/>
  <pageSetup fitToHeight="1" fitToWidth="1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3"/>
  <dimension ref="A1:U24"/>
  <sheetViews>
    <sheetView zoomScalePageLayoutView="0" workbookViewId="0" topLeftCell="C1">
      <selection activeCell="L13" sqref="L13"/>
    </sheetView>
  </sheetViews>
  <sheetFormatPr defaultColWidth="9.140625" defaultRowHeight="15"/>
  <cols>
    <col min="1" max="2" width="0" style="687" hidden="1" customWidth="1"/>
    <col min="3" max="3" width="5.421875" style="566" customWidth="1"/>
    <col min="4" max="4" width="28.57421875" style="566" customWidth="1"/>
    <col min="5" max="5" width="11.140625" style="566" customWidth="1"/>
    <col min="6" max="6" width="11.8515625" style="566" customWidth="1"/>
    <col min="7" max="12" width="10.57421875" style="566" customWidth="1"/>
    <col min="13" max="13" width="12.57421875" style="566" customWidth="1"/>
    <col min="14" max="14" width="12.140625" style="566" customWidth="1"/>
    <col min="15" max="15" width="12.57421875" style="566" customWidth="1"/>
    <col min="16" max="16" width="15.421875" style="566" customWidth="1"/>
    <col min="17" max="17" width="12.00390625" style="566" customWidth="1"/>
    <col min="18" max="18" width="11.421875" style="566" customWidth="1"/>
    <col min="19" max="19" width="15.421875" style="566" customWidth="1"/>
    <col min="20" max="20" width="13.57421875" style="566" customWidth="1"/>
    <col min="21" max="21" width="12.57421875" style="566" customWidth="1"/>
    <col min="22" max="16384" width="9.140625" style="566" customWidth="1"/>
  </cols>
  <sheetData>
    <row r="1" spans="3:10" ht="12.75">
      <c r="C1" s="558"/>
      <c r="D1" s="558"/>
      <c r="E1" s="558"/>
      <c r="F1" s="558"/>
      <c r="G1" s="558"/>
      <c r="H1" s="558"/>
      <c r="I1" s="558"/>
      <c r="J1" s="558"/>
    </row>
    <row r="2" spans="3:20" s="308" customFormat="1" ht="47.25" customHeight="1">
      <c r="C2" s="1610" t="s">
        <v>755</v>
      </c>
      <c r="D2" s="1610"/>
      <c r="E2" s="1610"/>
      <c r="F2" s="1610"/>
      <c r="G2" s="1610"/>
      <c r="H2" s="1610"/>
      <c r="I2" s="1610"/>
      <c r="J2" s="1610"/>
      <c r="K2" s="309"/>
      <c r="L2" s="309"/>
      <c r="M2" s="309"/>
      <c r="N2" s="309"/>
      <c r="O2" s="309"/>
      <c r="P2" s="309"/>
      <c r="Q2" s="309"/>
      <c r="R2" s="309"/>
      <c r="S2" s="309"/>
      <c r="T2" s="309"/>
    </row>
    <row r="3" spans="3:20" s="308" customFormat="1" ht="15">
      <c r="C3" s="549" t="str">
        <f>Титульный!$B$10</f>
        <v>ООО "Дирекция Голицыно-3"</v>
      </c>
      <c r="D3" s="311"/>
      <c r="E3" s="311"/>
      <c r="F3" s="311"/>
      <c r="G3" s="311"/>
      <c r="H3" s="311"/>
      <c r="I3" s="311"/>
      <c r="J3" s="311"/>
      <c r="K3" s="312"/>
      <c r="L3" s="312"/>
      <c r="M3" s="312"/>
      <c r="N3" s="312"/>
      <c r="O3" s="312"/>
      <c r="P3" s="312"/>
      <c r="Q3" s="312"/>
      <c r="R3" s="312"/>
      <c r="S3" s="312"/>
      <c r="T3" s="312"/>
    </row>
    <row r="4" spans="3:20" s="308" customFormat="1" ht="15">
      <c r="C4" s="551" t="str">
        <f>IF(Титульный!B11=0,Титульный!B12,IF(Титульный!$B$12=0,Титульный!$B$11,CONCATENATE(Титульный!$B$11,", ",Титульный!$B$12)))</f>
        <v>Наро-Фоминский м.р.</v>
      </c>
      <c r="D4" s="314"/>
      <c r="E4" s="314"/>
      <c r="F4" s="314"/>
      <c r="G4" s="314"/>
      <c r="H4" s="314"/>
      <c r="I4" s="314"/>
      <c r="J4" s="314"/>
      <c r="K4" s="312"/>
      <c r="L4" s="312"/>
      <c r="M4" s="312"/>
      <c r="N4" s="312"/>
      <c r="O4" s="312"/>
      <c r="P4" s="312"/>
      <c r="Q4" s="312"/>
      <c r="R4" s="312"/>
      <c r="S4" s="312"/>
      <c r="T4" s="312"/>
    </row>
    <row r="5" spans="1:21" ht="16.5" customHeight="1">
      <c r="A5" s="566"/>
      <c r="B5" s="566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688"/>
      <c r="R5" s="688"/>
      <c r="S5" s="688"/>
      <c r="T5" s="688"/>
      <c r="U5" s="558"/>
    </row>
    <row r="6" spans="1:21" ht="16.5" customHeight="1">
      <c r="A6" s="566"/>
      <c r="B6" s="566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688"/>
      <c r="R6" s="688"/>
      <c r="S6" s="688"/>
      <c r="T6" s="688"/>
      <c r="U6" s="558"/>
    </row>
    <row r="7" spans="1:21" ht="26.25" customHeight="1">
      <c r="A7" s="566"/>
      <c r="B7" s="566"/>
      <c r="C7" s="1566" t="s">
        <v>238</v>
      </c>
      <c r="D7" s="1566" t="s">
        <v>732</v>
      </c>
      <c r="E7" s="1599" t="s">
        <v>733</v>
      </c>
      <c r="F7" s="1566"/>
      <c r="G7" s="1566" t="s">
        <v>734</v>
      </c>
      <c r="H7" s="1566"/>
      <c r="I7" s="1566"/>
      <c r="J7" s="1566"/>
      <c r="K7" s="1566"/>
      <c r="L7" s="1566"/>
      <c r="M7" s="1566" t="s">
        <v>735</v>
      </c>
      <c r="N7" s="1566" t="s">
        <v>736</v>
      </c>
      <c r="O7" s="1566" t="s">
        <v>737</v>
      </c>
      <c r="P7" s="1566" t="s">
        <v>738</v>
      </c>
      <c r="Q7" s="1567"/>
      <c r="R7" s="1567"/>
      <c r="S7" s="1567"/>
      <c r="T7" s="1599" t="s">
        <v>739</v>
      </c>
      <c r="U7" s="1566" t="s">
        <v>740</v>
      </c>
    </row>
    <row r="8" spans="1:21" ht="15" customHeight="1">
      <c r="A8" s="566"/>
      <c r="B8" s="566"/>
      <c r="C8" s="1566"/>
      <c r="D8" s="1566"/>
      <c r="E8" s="1566"/>
      <c r="F8" s="1566"/>
      <c r="G8" s="1566" t="s">
        <v>741</v>
      </c>
      <c r="H8" s="1566"/>
      <c r="I8" s="1566"/>
      <c r="J8" s="1566"/>
      <c r="K8" s="1566"/>
      <c r="L8" s="1566"/>
      <c r="M8" s="1567"/>
      <c r="N8" s="1566"/>
      <c r="O8" s="1567"/>
      <c r="P8" s="1566" t="s">
        <v>742</v>
      </c>
      <c r="Q8" s="1566" t="s">
        <v>743</v>
      </c>
      <c r="R8" s="1566"/>
      <c r="S8" s="1566" t="s">
        <v>744</v>
      </c>
      <c r="T8" s="1566"/>
      <c r="U8" s="1566"/>
    </row>
    <row r="9" spans="1:21" ht="15" customHeight="1">
      <c r="A9" s="566"/>
      <c r="B9" s="566"/>
      <c r="C9" s="1566"/>
      <c r="D9" s="1566"/>
      <c r="E9" s="1566"/>
      <c r="F9" s="1566"/>
      <c r="G9" s="1566" t="s">
        <v>367</v>
      </c>
      <c r="H9" s="1566" t="s">
        <v>745</v>
      </c>
      <c r="I9" s="1567"/>
      <c r="J9" s="1567"/>
      <c r="K9" s="1567"/>
      <c r="L9" s="1567"/>
      <c r="M9" s="1567"/>
      <c r="N9" s="1566"/>
      <c r="O9" s="1567"/>
      <c r="P9" s="1567"/>
      <c r="Q9" s="1566"/>
      <c r="R9" s="1566"/>
      <c r="S9" s="1567"/>
      <c r="T9" s="1566"/>
      <c r="U9" s="1566"/>
    </row>
    <row r="10" spans="1:21" ht="45.75" customHeight="1">
      <c r="A10" s="566"/>
      <c r="B10" s="566"/>
      <c r="C10" s="1567"/>
      <c r="D10" s="1567"/>
      <c r="E10" s="552" t="s">
        <v>746</v>
      </c>
      <c r="F10" s="552" t="s">
        <v>747</v>
      </c>
      <c r="G10" s="1567"/>
      <c r="H10" s="552" t="s">
        <v>748</v>
      </c>
      <c r="I10" s="552" t="s">
        <v>749</v>
      </c>
      <c r="J10" s="552" t="s">
        <v>750</v>
      </c>
      <c r="K10" s="552" t="s">
        <v>751</v>
      </c>
      <c r="L10" s="58" t="s">
        <v>752</v>
      </c>
      <c r="M10" s="1567"/>
      <c r="N10" s="1566"/>
      <c r="O10" s="1567"/>
      <c r="P10" s="1567"/>
      <c r="Q10" s="58" t="s">
        <v>753</v>
      </c>
      <c r="R10" s="58" t="s">
        <v>754</v>
      </c>
      <c r="S10" s="1567"/>
      <c r="T10" s="1566"/>
      <c r="U10" s="1566"/>
    </row>
    <row r="11" spans="1:21" ht="11.25">
      <c r="A11" s="566"/>
      <c r="B11" s="566"/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6</v>
      </c>
      <c r="I11" s="9">
        <v>7</v>
      </c>
      <c r="J11" s="9">
        <v>8</v>
      </c>
      <c r="K11" s="9">
        <v>9</v>
      </c>
      <c r="L11" s="9">
        <v>10</v>
      </c>
      <c r="M11" s="9">
        <v>11</v>
      </c>
      <c r="N11" s="9">
        <v>12</v>
      </c>
      <c r="O11" s="9">
        <v>13</v>
      </c>
      <c r="P11" s="9">
        <v>14</v>
      </c>
      <c r="Q11" s="9">
        <v>15</v>
      </c>
      <c r="R11" s="9">
        <v>16</v>
      </c>
      <c r="S11" s="9">
        <v>17</v>
      </c>
      <c r="T11" s="9">
        <v>18</v>
      </c>
      <c r="U11" s="9">
        <v>19</v>
      </c>
    </row>
    <row r="12" spans="1:21" ht="11.25" hidden="1">
      <c r="A12" s="566"/>
      <c r="B12" s="566"/>
      <c r="C12" s="2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45">
      <c r="A13" s="566"/>
      <c r="B13" s="566"/>
      <c r="C13" s="849">
        <f>ROW(A1)</f>
        <v>1</v>
      </c>
      <c r="D13" s="1297" t="s">
        <v>1337</v>
      </c>
      <c r="E13" s="233">
        <v>2017</v>
      </c>
      <c r="F13" s="233">
        <v>2017</v>
      </c>
      <c r="G13" s="25">
        <f>SUM(H13:L13)</f>
        <v>0</v>
      </c>
      <c r="H13" s="297"/>
      <c r="I13" s="297"/>
      <c r="J13" s="297"/>
      <c r="K13" s="297"/>
      <c r="L13" s="297"/>
      <c r="M13" s="297"/>
      <c r="N13" s="690"/>
      <c r="O13" s="690"/>
      <c r="P13" s="690"/>
      <c r="Q13" s="297"/>
      <c r="R13" s="690"/>
      <c r="S13" s="297"/>
      <c r="T13" s="233"/>
      <c r="U13" s="690"/>
    </row>
    <row r="14" spans="1:21" ht="45">
      <c r="A14" s="566"/>
      <c r="B14" s="566"/>
      <c r="C14" s="849">
        <f>ROW(A2)</f>
        <v>2</v>
      </c>
      <c r="D14" s="1297" t="s">
        <v>1338</v>
      </c>
      <c r="E14" s="233">
        <v>2017</v>
      </c>
      <c r="F14" s="233">
        <v>2017</v>
      </c>
      <c r="G14" s="25">
        <f>SUM(H14:L14)</f>
        <v>0</v>
      </c>
      <c r="H14" s="297"/>
      <c r="I14" s="297"/>
      <c r="J14" s="297"/>
      <c r="K14" s="297"/>
      <c r="L14" s="297"/>
      <c r="M14" s="297"/>
      <c r="N14" s="690"/>
      <c r="O14" s="690"/>
      <c r="P14" s="690"/>
      <c r="Q14" s="297"/>
      <c r="R14" s="690"/>
      <c r="S14" s="297"/>
      <c r="T14" s="233"/>
      <c r="U14" s="690"/>
    </row>
    <row r="15" spans="1:21" ht="45">
      <c r="A15" s="566"/>
      <c r="B15" s="566"/>
      <c r="C15" s="849">
        <f>ROW(A3)</f>
        <v>3</v>
      </c>
      <c r="D15" s="1297" t="s">
        <v>1339</v>
      </c>
      <c r="E15" s="233">
        <v>2017</v>
      </c>
      <c r="F15" s="233">
        <v>2017</v>
      </c>
      <c r="G15" s="25">
        <f>SUM(H15:L15)</f>
        <v>0</v>
      </c>
      <c r="H15" s="297"/>
      <c r="I15" s="297"/>
      <c r="J15" s="297"/>
      <c r="K15" s="297"/>
      <c r="L15" s="297"/>
      <c r="M15" s="297"/>
      <c r="N15" s="690"/>
      <c r="O15" s="690"/>
      <c r="P15" s="690"/>
      <c r="Q15" s="297"/>
      <c r="R15" s="690"/>
      <c r="S15" s="297"/>
      <c r="T15" s="233"/>
      <c r="U15" s="690"/>
    </row>
    <row r="16" spans="1:21" ht="15">
      <c r="A16" s="566"/>
      <c r="B16" s="566"/>
      <c r="C16" s="849">
        <f>ROW(A4)</f>
        <v>4</v>
      </c>
      <c r="D16" s="1297"/>
      <c r="E16" s="233"/>
      <c r="F16" s="233"/>
      <c r="G16" s="25">
        <f>SUM(H16:L16)</f>
        <v>0</v>
      </c>
      <c r="H16" s="297"/>
      <c r="I16" s="297"/>
      <c r="J16" s="297"/>
      <c r="K16" s="297"/>
      <c r="L16" s="297"/>
      <c r="M16" s="297"/>
      <c r="N16" s="690"/>
      <c r="O16" s="690"/>
      <c r="P16" s="690"/>
      <c r="Q16" s="297"/>
      <c r="R16" s="690"/>
      <c r="S16" s="297"/>
      <c r="T16" s="233"/>
      <c r="U16" s="690"/>
    </row>
    <row r="17" spans="1:21" ht="15" customHeight="1">
      <c r="A17" s="566"/>
      <c r="B17" s="566"/>
      <c r="C17" s="15"/>
      <c r="D17" s="16" t="s">
        <v>806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5" customHeight="1">
      <c r="A18" s="566"/>
      <c r="B18" s="566"/>
      <c r="C18" s="637"/>
      <c r="D18" s="637"/>
      <c r="E18" s="593"/>
      <c r="F18" s="593"/>
      <c r="G18" s="46">
        <f aca="true" t="shared" si="0" ref="G18:L18">SUM(G12:G17)</f>
        <v>0</v>
      </c>
      <c r="H18" s="46">
        <f t="shared" si="0"/>
        <v>0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593"/>
      <c r="N18" s="593"/>
      <c r="O18" s="593"/>
      <c r="P18" s="593"/>
      <c r="Q18" s="593"/>
      <c r="R18" s="593"/>
      <c r="S18" s="46">
        <f>SUM(S12:S17)</f>
        <v>0</v>
      </c>
      <c r="T18" s="593"/>
      <c r="U18" s="593"/>
    </row>
    <row r="19" spans="3:16" s="646" customFormat="1" ht="15.75" customHeight="1">
      <c r="C19" s="3"/>
      <c r="D19" s="4"/>
      <c r="E19" s="4"/>
      <c r="F19" s="4"/>
      <c r="G19" s="5"/>
      <c r="H19" s="6"/>
      <c r="I19" s="6"/>
      <c r="J19" s="7"/>
      <c r="K19" s="7"/>
      <c r="L19" s="7"/>
      <c r="M19" s="7"/>
      <c r="N19" s="7"/>
      <c r="O19" s="7"/>
      <c r="P19" s="30"/>
    </row>
    <row r="20" spans="3:21" ht="12.75">
      <c r="C20" s="558"/>
      <c r="D20" s="558"/>
      <c r="E20" s="558"/>
      <c r="F20" s="558"/>
      <c r="G20" s="558"/>
      <c r="H20" s="558"/>
      <c r="I20" s="558"/>
      <c r="J20" s="558"/>
      <c r="K20" s="558"/>
      <c r="L20" s="558"/>
      <c r="M20" s="558"/>
      <c r="N20" s="558"/>
      <c r="O20" s="558"/>
      <c r="P20" s="558"/>
      <c r="Q20" s="558"/>
      <c r="R20" s="558"/>
      <c r="S20" s="558"/>
      <c r="T20" s="558"/>
      <c r="U20" s="558"/>
    </row>
    <row r="21" spans="1:11" ht="14.25" customHeight="1">
      <c r="A21" s="566"/>
      <c r="B21" s="566"/>
      <c r="C21" s="564" t="s">
        <v>350</v>
      </c>
      <c r="K21" s="586"/>
    </row>
    <row r="22" spans="1:21" ht="14.25" customHeight="1">
      <c r="A22" s="566"/>
      <c r="B22" s="566"/>
      <c r="C22" s="565"/>
      <c r="D22" s="565"/>
      <c r="K22" s="586"/>
      <c r="T22" s="556"/>
      <c r="U22" s="615"/>
    </row>
    <row r="23" spans="1:21" ht="11.25">
      <c r="A23" s="566"/>
      <c r="B23" s="566"/>
      <c r="C23" s="886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  <c r="E23" s="568"/>
      <c r="T23" s="556"/>
      <c r="U23" s="615"/>
    </row>
    <row r="24" spans="1:20" ht="15">
      <c r="A24" s="566"/>
      <c r="B24" s="566"/>
      <c r="C24" s="568"/>
      <c r="D24" s="1008" t="s">
        <v>219</v>
      </c>
      <c r="F24" s="568"/>
      <c r="G24" s="568"/>
      <c r="H24" s="568"/>
      <c r="I24" s="568"/>
      <c r="J24" s="568"/>
      <c r="K24" s="568"/>
      <c r="L24" s="568"/>
      <c r="M24" s="568"/>
      <c r="N24" s="568"/>
      <c r="O24" s="568"/>
      <c r="P24" s="568"/>
      <c r="Q24" s="568"/>
      <c r="R24" s="568"/>
      <c r="S24" s="568"/>
      <c r="T24" s="689"/>
    </row>
  </sheetData>
  <sheetProtection password="CF72" sheet="1" objects="1" scenarios="1"/>
  <mergeCells count="17">
    <mergeCell ref="C2:J2"/>
    <mergeCell ref="C7:C10"/>
    <mergeCell ref="D7:D10"/>
    <mergeCell ref="E7:F9"/>
    <mergeCell ref="G7:L7"/>
    <mergeCell ref="M7:M10"/>
    <mergeCell ref="H9:L9"/>
    <mergeCell ref="N7:N10"/>
    <mergeCell ref="O7:O10"/>
    <mergeCell ref="P7:S7"/>
    <mergeCell ref="T7:T10"/>
    <mergeCell ref="U7:U10"/>
    <mergeCell ref="G8:L8"/>
    <mergeCell ref="P8:P10"/>
    <mergeCell ref="Q8:R9"/>
    <mergeCell ref="S8:S10"/>
    <mergeCell ref="G9:G10"/>
  </mergeCells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N59"/>
  <sheetViews>
    <sheetView zoomScalePageLayoutView="0" workbookViewId="0" topLeftCell="A1">
      <pane xSplit="2" ySplit="10" topLeftCell="C2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5"/>
  <cols>
    <col min="1" max="1" width="5.421875" style="566" customWidth="1"/>
    <col min="2" max="2" width="42.57421875" style="566" customWidth="1"/>
    <col min="3" max="3" width="9.57421875" style="566" customWidth="1"/>
    <col min="4" max="4" width="16.421875" style="566" customWidth="1"/>
    <col min="5" max="5" width="9.57421875" style="566" customWidth="1"/>
    <col min="6" max="6" width="16.421875" style="566" customWidth="1"/>
    <col min="7" max="7" width="9.57421875" style="566" customWidth="1"/>
    <col min="8" max="8" width="16.421875" style="566" customWidth="1"/>
    <col min="9" max="9" width="9.57421875" style="566" customWidth="1"/>
    <col min="10" max="10" width="16.421875" style="566" customWidth="1"/>
    <col min="11" max="11" width="9.57421875" style="566" customWidth="1"/>
    <col min="12" max="12" width="16.421875" style="566" customWidth="1"/>
    <col min="13" max="13" width="9.57421875" style="566" customWidth="1"/>
    <col min="14" max="14" width="16.421875" style="566" customWidth="1"/>
    <col min="15" max="16384" width="9.140625" style="566" customWidth="1"/>
  </cols>
  <sheetData>
    <row r="1" spans="1:6" ht="11.25">
      <c r="A1" s="558"/>
      <c r="B1" s="558"/>
      <c r="C1" s="558"/>
      <c r="D1" s="558"/>
      <c r="E1" s="558"/>
      <c r="F1" s="558"/>
    </row>
    <row r="2" spans="1:13" s="308" customFormat="1" ht="33" customHeight="1">
      <c r="A2" s="1610" t="s">
        <v>820</v>
      </c>
      <c r="B2" s="1610"/>
      <c r="C2" s="1610"/>
      <c r="D2" s="1610"/>
      <c r="E2" s="1610"/>
      <c r="F2" s="902"/>
      <c r="G2" s="309"/>
      <c r="H2" s="309"/>
      <c r="I2" s="309"/>
      <c r="J2" s="309"/>
      <c r="K2" s="309"/>
      <c r="L2" s="309"/>
      <c r="M2" s="309"/>
    </row>
    <row r="3" spans="1:13" s="308" customFormat="1" ht="15">
      <c r="A3" s="549" t="str">
        <f>Титульный!$B$10</f>
        <v>ООО "Дирекция Голицыно-3"</v>
      </c>
      <c r="B3" s="311"/>
      <c r="C3" s="311"/>
      <c r="D3" s="311"/>
      <c r="E3" s="311"/>
      <c r="F3" s="311"/>
      <c r="G3" s="312"/>
      <c r="H3" s="312"/>
      <c r="I3" s="312"/>
      <c r="J3" s="312"/>
      <c r="K3" s="312"/>
      <c r="L3" s="312"/>
      <c r="M3" s="312"/>
    </row>
    <row r="4" spans="1:13" s="308" customFormat="1" ht="15">
      <c r="A4" s="551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314"/>
      <c r="C4" s="314"/>
      <c r="D4" s="314"/>
      <c r="E4" s="314"/>
      <c r="F4" s="311"/>
      <c r="G4" s="312"/>
      <c r="H4" s="312"/>
      <c r="I4" s="312"/>
      <c r="J4" s="312"/>
      <c r="K4" s="312"/>
      <c r="L4" s="312"/>
      <c r="M4" s="312"/>
    </row>
    <row r="5" spans="1:13" s="308" customFormat="1" ht="15.75" thickBot="1">
      <c r="A5" s="591"/>
      <c r="B5" s="311"/>
      <c r="C5" s="311"/>
      <c r="D5" s="311"/>
      <c r="E5" s="311"/>
      <c r="F5" s="311"/>
      <c r="G5" s="312"/>
      <c r="H5" s="312"/>
      <c r="I5" s="312"/>
      <c r="J5" s="312"/>
      <c r="K5" s="312"/>
      <c r="L5" s="312"/>
      <c r="M5" s="312"/>
    </row>
    <row r="6" spans="1:14" ht="16.5" customHeight="1">
      <c r="A6" s="1628" t="s">
        <v>238</v>
      </c>
      <c r="B6" s="1628" t="s">
        <v>555</v>
      </c>
      <c r="C6" s="1611">
        <v>2015</v>
      </c>
      <c r="D6" s="1612"/>
      <c r="E6" s="1612"/>
      <c r="F6" s="1613"/>
      <c r="G6" s="1611">
        <v>2016</v>
      </c>
      <c r="H6" s="1612"/>
      <c r="I6" s="1612"/>
      <c r="J6" s="1613"/>
      <c r="K6" s="1611">
        <v>2017</v>
      </c>
      <c r="L6" s="1612"/>
      <c r="M6" s="1612"/>
      <c r="N6" s="1613"/>
    </row>
    <row r="7" spans="1:14" ht="16.5" customHeight="1">
      <c r="A7" s="1629"/>
      <c r="B7" s="1629"/>
      <c r="C7" s="1614" t="s">
        <v>329</v>
      </c>
      <c r="D7" s="1615"/>
      <c r="E7" s="1616" t="s">
        <v>6</v>
      </c>
      <c r="F7" s="1617"/>
      <c r="G7" s="1614" t="s">
        <v>330</v>
      </c>
      <c r="H7" s="1620"/>
      <c r="I7" s="1620"/>
      <c r="J7" s="1621"/>
      <c r="K7" s="1622" t="s">
        <v>329</v>
      </c>
      <c r="L7" s="1623"/>
      <c r="M7" s="1623"/>
      <c r="N7" s="1617"/>
    </row>
    <row r="8" spans="1:14" ht="30.75" customHeight="1">
      <c r="A8" s="1629"/>
      <c r="B8" s="1629"/>
      <c r="C8" s="1624" t="s">
        <v>467</v>
      </c>
      <c r="D8" s="1625"/>
      <c r="E8" s="1618"/>
      <c r="F8" s="1619"/>
      <c r="G8" s="1624" t="s">
        <v>9</v>
      </c>
      <c r="H8" s="1625"/>
      <c r="I8" s="1626" t="s">
        <v>10</v>
      </c>
      <c r="J8" s="1627"/>
      <c r="K8" s="1624" t="s">
        <v>11</v>
      </c>
      <c r="L8" s="1625"/>
      <c r="M8" s="1626" t="s">
        <v>12</v>
      </c>
      <c r="N8" s="1627"/>
    </row>
    <row r="9" spans="1:14" ht="15">
      <c r="A9" s="1630"/>
      <c r="B9" s="1630"/>
      <c r="C9" s="930" t="s">
        <v>821</v>
      </c>
      <c r="D9" s="931" t="s">
        <v>46</v>
      </c>
      <c r="E9" s="931" t="s">
        <v>821</v>
      </c>
      <c r="F9" s="932" t="s">
        <v>46</v>
      </c>
      <c r="G9" s="930" t="s">
        <v>821</v>
      </c>
      <c r="H9" s="931" t="s">
        <v>46</v>
      </c>
      <c r="I9" s="931" t="s">
        <v>821</v>
      </c>
      <c r="J9" s="932" t="s">
        <v>46</v>
      </c>
      <c r="K9" s="930" t="s">
        <v>821</v>
      </c>
      <c r="L9" s="931" t="s">
        <v>46</v>
      </c>
      <c r="M9" s="931" t="s">
        <v>821</v>
      </c>
      <c r="N9" s="932" t="s">
        <v>46</v>
      </c>
    </row>
    <row r="10" spans="1:14" ht="12" thickBot="1">
      <c r="A10" s="903">
        <v>1</v>
      </c>
      <c r="B10" s="903">
        <v>2</v>
      </c>
      <c r="C10" s="904">
        <v>4</v>
      </c>
      <c r="D10" s="905">
        <v>5</v>
      </c>
      <c r="E10" s="905">
        <v>6</v>
      </c>
      <c r="F10" s="906">
        <v>7</v>
      </c>
      <c r="G10" s="904">
        <v>8</v>
      </c>
      <c r="H10" s="905">
        <v>9</v>
      </c>
      <c r="I10" s="905">
        <v>10</v>
      </c>
      <c r="J10" s="906">
        <v>11</v>
      </c>
      <c r="K10" s="904">
        <v>12</v>
      </c>
      <c r="L10" s="905">
        <v>13</v>
      </c>
      <c r="M10" s="905">
        <v>14</v>
      </c>
      <c r="N10" s="906">
        <v>15</v>
      </c>
    </row>
    <row r="11" spans="1:14" s="556" customFormat="1" ht="15">
      <c r="A11" s="907">
        <v>1</v>
      </c>
      <c r="B11" s="933" t="s">
        <v>822</v>
      </c>
      <c r="C11" s="934" t="s">
        <v>283</v>
      </c>
      <c r="D11" s="935">
        <f>SUM(D12:D18)</f>
        <v>0</v>
      </c>
      <c r="E11" s="935" t="s">
        <v>283</v>
      </c>
      <c r="F11" s="936">
        <f aca="true" t="shared" si="0" ref="F11:N11">SUM(F12:F18)</f>
        <v>0</v>
      </c>
      <c r="G11" s="934" t="s">
        <v>283</v>
      </c>
      <c r="H11" s="935">
        <f t="shared" si="0"/>
        <v>0</v>
      </c>
      <c r="I11" s="935" t="s">
        <v>283</v>
      </c>
      <c r="J11" s="936">
        <f t="shared" si="0"/>
        <v>0</v>
      </c>
      <c r="K11" s="934" t="s">
        <v>283</v>
      </c>
      <c r="L11" s="935">
        <f t="shared" si="0"/>
        <v>0</v>
      </c>
      <c r="M11" s="935" t="s">
        <v>283</v>
      </c>
      <c r="N11" s="936">
        <f t="shared" si="0"/>
        <v>0</v>
      </c>
    </row>
    <row r="12" spans="1:14" ht="15">
      <c r="A12" s="908" t="s">
        <v>14</v>
      </c>
      <c r="B12" s="937" t="s">
        <v>823</v>
      </c>
      <c r="C12" s="938" t="s">
        <v>283</v>
      </c>
      <c r="D12" s="909"/>
      <c r="E12" s="939" t="s">
        <v>283</v>
      </c>
      <c r="F12" s="910"/>
      <c r="G12" s="938" t="s">
        <v>283</v>
      </c>
      <c r="H12" s="909"/>
      <c r="I12" s="939" t="s">
        <v>283</v>
      </c>
      <c r="J12" s="910"/>
      <c r="K12" s="938" t="s">
        <v>283</v>
      </c>
      <c r="L12" s="909"/>
      <c r="M12" s="939" t="s">
        <v>283</v>
      </c>
      <c r="N12" s="910"/>
    </row>
    <row r="13" spans="1:14" ht="15">
      <c r="A13" s="908" t="s">
        <v>17</v>
      </c>
      <c r="B13" s="937" t="s">
        <v>824</v>
      </c>
      <c r="C13" s="938" t="s">
        <v>283</v>
      </c>
      <c r="D13" s="909"/>
      <c r="E13" s="939" t="s">
        <v>283</v>
      </c>
      <c r="F13" s="910"/>
      <c r="G13" s="938" t="s">
        <v>283</v>
      </c>
      <c r="H13" s="909"/>
      <c r="I13" s="939" t="s">
        <v>283</v>
      </c>
      <c r="J13" s="910"/>
      <c r="K13" s="938" t="s">
        <v>283</v>
      </c>
      <c r="L13" s="909"/>
      <c r="M13" s="939" t="s">
        <v>283</v>
      </c>
      <c r="N13" s="910"/>
    </row>
    <row r="14" spans="1:14" ht="15">
      <c r="A14" s="908" t="s">
        <v>19</v>
      </c>
      <c r="B14" s="937" t="s">
        <v>783</v>
      </c>
      <c r="C14" s="938" t="s">
        <v>283</v>
      </c>
      <c r="D14" s="909"/>
      <c r="E14" s="939" t="s">
        <v>283</v>
      </c>
      <c r="F14" s="910"/>
      <c r="G14" s="938" t="s">
        <v>283</v>
      </c>
      <c r="H14" s="909"/>
      <c r="I14" s="939" t="s">
        <v>283</v>
      </c>
      <c r="J14" s="910"/>
      <c r="K14" s="938" t="s">
        <v>283</v>
      </c>
      <c r="L14" s="909"/>
      <c r="M14" s="939" t="s">
        <v>283</v>
      </c>
      <c r="N14" s="910"/>
    </row>
    <row r="15" spans="1:14" ht="15">
      <c r="A15" s="908" t="s">
        <v>24</v>
      </c>
      <c r="B15" s="937" t="s">
        <v>825</v>
      </c>
      <c r="C15" s="938" t="s">
        <v>283</v>
      </c>
      <c r="D15" s="909"/>
      <c r="E15" s="939" t="s">
        <v>283</v>
      </c>
      <c r="F15" s="910"/>
      <c r="G15" s="938" t="s">
        <v>283</v>
      </c>
      <c r="H15" s="909"/>
      <c r="I15" s="939" t="s">
        <v>283</v>
      </c>
      <c r="J15" s="910"/>
      <c r="K15" s="938" t="s">
        <v>283</v>
      </c>
      <c r="L15" s="909"/>
      <c r="M15" s="939" t="s">
        <v>283</v>
      </c>
      <c r="N15" s="910"/>
    </row>
    <row r="16" spans="1:14" ht="15">
      <c r="A16" s="908" t="s">
        <v>26</v>
      </c>
      <c r="B16" s="937" t="s">
        <v>826</v>
      </c>
      <c r="C16" s="938" t="s">
        <v>283</v>
      </c>
      <c r="D16" s="909"/>
      <c r="E16" s="939" t="s">
        <v>283</v>
      </c>
      <c r="F16" s="910"/>
      <c r="G16" s="938" t="s">
        <v>283</v>
      </c>
      <c r="H16" s="909"/>
      <c r="I16" s="939" t="s">
        <v>283</v>
      </c>
      <c r="J16" s="910"/>
      <c r="K16" s="938" t="s">
        <v>283</v>
      </c>
      <c r="L16" s="909"/>
      <c r="M16" s="939" t="s">
        <v>283</v>
      </c>
      <c r="N16" s="910"/>
    </row>
    <row r="17" spans="1:14" ht="15">
      <c r="A17" s="908" t="s">
        <v>29</v>
      </c>
      <c r="B17" s="937" t="s">
        <v>827</v>
      </c>
      <c r="C17" s="938" t="s">
        <v>283</v>
      </c>
      <c r="D17" s="909"/>
      <c r="E17" s="939" t="s">
        <v>283</v>
      </c>
      <c r="F17" s="910"/>
      <c r="G17" s="938" t="s">
        <v>283</v>
      </c>
      <c r="H17" s="909"/>
      <c r="I17" s="939" t="s">
        <v>283</v>
      </c>
      <c r="J17" s="910"/>
      <c r="K17" s="938" t="s">
        <v>283</v>
      </c>
      <c r="L17" s="909"/>
      <c r="M17" s="939" t="s">
        <v>283</v>
      </c>
      <c r="N17" s="910"/>
    </row>
    <row r="18" spans="1:14" ht="15">
      <c r="A18" s="908" t="s">
        <v>33</v>
      </c>
      <c r="B18" s="937" t="s">
        <v>828</v>
      </c>
      <c r="C18" s="938" t="s">
        <v>283</v>
      </c>
      <c r="D18" s="909"/>
      <c r="E18" s="939" t="s">
        <v>283</v>
      </c>
      <c r="F18" s="910"/>
      <c r="G18" s="938" t="s">
        <v>283</v>
      </c>
      <c r="H18" s="909"/>
      <c r="I18" s="939" t="s">
        <v>283</v>
      </c>
      <c r="J18" s="910"/>
      <c r="K18" s="938" t="s">
        <v>283</v>
      </c>
      <c r="L18" s="909"/>
      <c r="M18" s="939" t="s">
        <v>283</v>
      </c>
      <c r="N18" s="910"/>
    </row>
    <row r="19" spans="1:14" s="556" customFormat="1" ht="15">
      <c r="A19" s="911">
        <v>2</v>
      </c>
      <c r="B19" s="940" t="s">
        <v>829</v>
      </c>
      <c r="C19" s="941" t="s">
        <v>283</v>
      </c>
      <c r="D19" s="942">
        <f>SUM(D20:D30)</f>
        <v>0</v>
      </c>
      <c r="E19" s="942" t="s">
        <v>283</v>
      </c>
      <c r="F19" s="943">
        <f>SUM(F20:F30)</f>
        <v>0</v>
      </c>
      <c r="G19" s="941" t="s">
        <v>283</v>
      </c>
      <c r="H19" s="942">
        <f>SUM(H20:H30)</f>
        <v>0</v>
      </c>
      <c r="I19" s="942" t="s">
        <v>283</v>
      </c>
      <c r="J19" s="943">
        <f>SUM(J20:J30)</f>
        <v>0</v>
      </c>
      <c r="K19" s="941" t="s">
        <v>283</v>
      </c>
      <c r="L19" s="942">
        <f>SUM(L20:L30)</f>
        <v>0</v>
      </c>
      <c r="M19" s="942" t="s">
        <v>283</v>
      </c>
      <c r="N19" s="943">
        <f>SUM(N20:N30)</f>
        <v>0</v>
      </c>
    </row>
    <row r="20" spans="1:14" ht="15">
      <c r="A20" s="908" t="s">
        <v>45</v>
      </c>
      <c r="B20" s="937" t="s">
        <v>830</v>
      </c>
      <c r="C20" s="938" t="s">
        <v>283</v>
      </c>
      <c r="D20" s="909"/>
      <c r="E20" s="939" t="s">
        <v>283</v>
      </c>
      <c r="F20" s="910"/>
      <c r="G20" s="938" t="s">
        <v>283</v>
      </c>
      <c r="H20" s="909"/>
      <c r="I20" s="939" t="s">
        <v>283</v>
      </c>
      <c r="J20" s="910"/>
      <c r="K20" s="938" t="s">
        <v>283</v>
      </c>
      <c r="L20" s="909"/>
      <c r="M20" s="939" t="s">
        <v>283</v>
      </c>
      <c r="N20" s="910"/>
    </row>
    <row r="21" spans="1:14" ht="15">
      <c r="A21" s="908" t="s">
        <v>831</v>
      </c>
      <c r="B21" s="937" t="s">
        <v>832</v>
      </c>
      <c r="C21" s="938" t="s">
        <v>283</v>
      </c>
      <c r="D21" s="909"/>
      <c r="E21" s="939" t="s">
        <v>283</v>
      </c>
      <c r="F21" s="910"/>
      <c r="G21" s="938" t="s">
        <v>283</v>
      </c>
      <c r="H21" s="909"/>
      <c r="I21" s="939" t="s">
        <v>283</v>
      </c>
      <c r="J21" s="910"/>
      <c r="K21" s="938" t="s">
        <v>283</v>
      </c>
      <c r="L21" s="909"/>
      <c r="M21" s="939" t="s">
        <v>283</v>
      </c>
      <c r="N21" s="910"/>
    </row>
    <row r="22" spans="1:14" ht="15">
      <c r="A22" s="908" t="s">
        <v>47</v>
      </c>
      <c r="B22" s="937" t="s">
        <v>833</v>
      </c>
      <c r="C22" s="938" t="s">
        <v>283</v>
      </c>
      <c r="D22" s="909"/>
      <c r="E22" s="939" t="s">
        <v>283</v>
      </c>
      <c r="F22" s="910"/>
      <c r="G22" s="938" t="s">
        <v>283</v>
      </c>
      <c r="H22" s="909"/>
      <c r="I22" s="939" t="s">
        <v>283</v>
      </c>
      <c r="J22" s="910"/>
      <c r="K22" s="938" t="s">
        <v>283</v>
      </c>
      <c r="L22" s="909"/>
      <c r="M22" s="939" t="s">
        <v>283</v>
      </c>
      <c r="N22" s="910"/>
    </row>
    <row r="23" spans="1:14" ht="15">
      <c r="A23" s="908" t="s">
        <v>49</v>
      </c>
      <c r="B23" s="937" t="s">
        <v>834</v>
      </c>
      <c r="C23" s="938" t="s">
        <v>283</v>
      </c>
      <c r="D23" s="909"/>
      <c r="E23" s="939" t="s">
        <v>283</v>
      </c>
      <c r="F23" s="910"/>
      <c r="G23" s="938" t="s">
        <v>283</v>
      </c>
      <c r="H23" s="909"/>
      <c r="I23" s="939" t="s">
        <v>283</v>
      </c>
      <c r="J23" s="910"/>
      <c r="K23" s="938" t="s">
        <v>283</v>
      </c>
      <c r="L23" s="909"/>
      <c r="M23" s="939" t="s">
        <v>283</v>
      </c>
      <c r="N23" s="910"/>
    </row>
    <row r="24" spans="1:14" ht="15">
      <c r="A24" s="908" t="s">
        <v>53</v>
      </c>
      <c r="B24" s="937" t="s">
        <v>835</v>
      </c>
      <c r="C24" s="938" t="s">
        <v>283</v>
      </c>
      <c r="D24" s="909"/>
      <c r="E24" s="939" t="s">
        <v>283</v>
      </c>
      <c r="F24" s="910"/>
      <c r="G24" s="938" t="s">
        <v>283</v>
      </c>
      <c r="H24" s="909"/>
      <c r="I24" s="939" t="s">
        <v>283</v>
      </c>
      <c r="J24" s="910"/>
      <c r="K24" s="938" t="s">
        <v>283</v>
      </c>
      <c r="L24" s="909"/>
      <c r="M24" s="939" t="s">
        <v>283</v>
      </c>
      <c r="N24" s="910"/>
    </row>
    <row r="25" spans="1:14" ht="15">
      <c r="A25" s="908" t="s">
        <v>64</v>
      </c>
      <c r="B25" s="937" t="s">
        <v>836</v>
      </c>
      <c r="C25" s="938" t="s">
        <v>283</v>
      </c>
      <c r="D25" s="909"/>
      <c r="E25" s="939" t="s">
        <v>283</v>
      </c>
      <c r="F25" s="910"/>
      <c r="G25" s="938" t="s">
        <v>283</v>
      </c>
      <c r="H25" s="909"/>
      <c r="I25" s="939" t="s">
        <v>283</v>
      </c>
      <c r="J25" s="910"/>
      <c r="K25" s="938" t="s">
        <v>283</v>
      </c>
      <c r="L25" s="909"/>
      <c r="M25" s="939" t="s">
        <v>283</v>
      </c>
      <c r="N25" s="910"/>
    </row>
    <row r="26" spans="1:14" ht="15">
      <c r="A26" s="908" t="s">
        <v>67</v>
      </c>
      <c r="B26" s="937" t="s">
        <v>837</v>
      </c>
      <c r="C26" s="938" t="s">
        <v>283</v>
      </c>
      <c r="D26" s="909"/>
      <c r="E26" s="939" t="s">
        <v>283</v>
      </c>
      <c r="F26" s="910"/>
      <c r="G26" s="938" t="s">
        <v>283</v>
      </c>
      <c r="H26" s="909"/>
      <c r="I26" s="939" t="s">
        <v>283</v>
      </c>
      <c r="J26" s="910"/>
      <c r="K26" s="938" t="s">
        <v>283</v>
      </c>
      <c r="L26" s="909"/>
      <c r="M26" s="939" t="s">
        <v>283</v>
      </c>
      <c r="N26" s="910"/>
    </row>
    <row r="27" spans="1:14" ht="15">
      <c r="A27" s="908" t="s">
        <v>838</v>
      </c>
      <c r="B27" s="937" t="s">
        <v>839</v>
      </c>
      <c r="C27" s="938" t="s">
        <v>283</v>
      </c>
      <c r="D27" s="909"/>
      <c r="E27" s="939" t="s">
        <v>283</v>
      </c>
      <c r="F27" s="910"/>
      <c r="G27" s="938" t="s">
        <v>283</v>
      </c>
      <c r="H27" s="909"/>
      <c r="I27" s="939" t="s">
        <v>283</v>
      </c>
      <c r="J27" s="910"/>
      <c r="K27" s="938" t="s">
        <v>283</v>
      </c>
      <c r="L27" s="909"/>
      <c r="M27" s="939" t="s">
        <v>283</v>
      </c>
      <c r="N27" s="910"/>
    </row>
    <row r="28" spans="1:14" ht="15">
      <c r="A28" s="908" t="s">
        <v>840</v>
      </c>
      <c r="B28" s="937" t="s">
        <v>841</v>
      </c>
      <c r="C28" s="938" t="s">
        <v>283</v>
      </c>
      <c r="D28" s="909"/>
      <c r="E28" s="939" t="s">
        <v>283</v>
      </c>
      <c r="F28" s="910"/>
      <c r="G28" s="938" t="s">
        <v>283</v>
      </c>
      <c r="H28" s="909"/>
      <c r="I28" s="939" t="s">
        <v>283</v>
      </c>
      <c r="J28" s="910"/>
      <c r="K28" s="938" t="s">
        <v>283</v>
      </c>
      <c r="L28" s="909"/>
      <c r="M28" s="939" t="s">
        <v>283</v>
      </c>
      <c r="N28" s="910"/>
    </row>
    <row r="29" spans="1:14" ht="15">
      <c r="A29" s="908" t="s">
        <v>69</v>
      </c>
      <c r="B29" s="937" t="s">
        <v>842</v>
      </c>
      <c r="C29" s="938" t="s">
        <v>283</v>
      </c>
      <c r="D29" s="909"/>
      <c r="E29" s="939" t="s">
        <v>283</v>
      </c>
      <c r="F29" s="910"/>
      <c r="G29" s="938" t="s">
        <v>283</v>
      </c>
      <c r="H29" s="909"/>
      <c r="I29" s="939" t="s">
        <v>283</v>
      </c>
      <c r="J29" s="910"/>
      <c r="K29" s="938" t="s">
        <v>283</v>
      </c>
      <c r="L29" s="909"/>
      <c r="M29" s="939" t="s">
        <v>283</v>
      </c>
      <c r="N29" s="910"/>
    </row>
    <row r="30" spans="1:14" ht="15">
      <c r="A30" s="908" t="s">
        <v>77</v>
      </c>
      <c r="B30" s="937" t="s">
        <v>843</v>
      </c>
      <c r="C30" s="938" t="s">
        <v>283</v>
      </c>
      <c r="D30" s="909"/>
      <c r="E30" s="939" t="s">
        <v>283</v>
      </c>
      <c r="F30" s="910"/>
      <c r="G30" s="938" t="s">
        <v>283</v>
      </c>
      <c r="H30" s="909"/>
      <c r="I30" s="939" t="s">
        <v>283</v>
      </c>
      <c r="J30" s="910"/>
      <c r="K30" s="938" t="s">
        <v>283</v>
      </c>
      <c r="L30" s="909"/>
      <c r="M30" s="939" t="s">
        <v>283</v>
      </c>
      <c r="N30" s="910"/>
    </row>
    <row r="31" spans="1:14" s="556" customFormat="1" ht="15">
      <c r="A31" s="911">
        <v>3</v>
      </c>
      <c r="B31" s="940" t="s">
        <v>844</v>
      </c>
      <c r="C31" s="941" t="s">
        <v>283</v>
      </c>
      <c r="D31" s="942">
        <f>SUM(D32:D33)</f>
        <v>0</v>
      </c>
      <c r="E31" s="942" t="s">
        <v>283</v>
      </c>
      <c r="F31" s="943">
        <f aca="true" t="shared" si="1" ref="F31:N31">SUM(F32:F33)</f>
        <v>0</v>
      </c>
      <c r="G31" s="941" t="s">
        <v>283</v>
      </c>
      <c r="H31" s="942">
        <f t="shared" si="1"/>
        <v>0</v>
      </c>
      <c r="I31" s="942" t="s">
        <v>283</v>
      </c>
      <c r="J31" s="943">
        <f t="shared" si="1"/>
        <v>0</v>
      </c>
      <c r="K31" s="941" t="s">
        <v>283</v>
      </c>
      <c r="L31" s="942">
        <f t="shared" si="1"/>
        <v>0</v>
      </c>
      <c r="M31" s="942" t="s">
        <v>283</v>
      </c>
      <c r="N31" s="943">
        <f t="shared" si="1"/>
        <v>0</v>
      </c>
    </row>
    <row r="32" spans="1:14" ht="15">
      <c r="A32" s="908" t="s">
        <v>154</v>
      </c>
      <c r="B32" s="937" t="s">
        <v>830</v>
      </c>
      <c r="C32" s="938" t="s">
        <v>283</v>
      </c>
      <c r="D32" s="909"/>
      <c r="E32" s="939" t="s">
        <v>283</v>
      </c>
      <c r="F32" s="910"/>
      <c r="G32" s="938" t="s">
        <v>283</v>
      </c>
      <c r="H32" s="909"/>
      <c r="I32" s="939" t="s">
        <v>283</v>
      </c>
      <c r="J32" s="910"/>
      <c r="K32" s="938" t="s">
        <v>283</v>
      </c>
      <c r="L32" s="909"/>
      <c r="M32" s="939" t="s">
        <v>283</v>
      </c>
      <c r="N32" s="910"/>
    </row>
    <row r="33" spans="1:14" ht="15">
      <c r="A33" s="908" t="s">
        <v>353</v>
      </c>
      <c r="B33" s="937" t="s">
        <v>845</v>
      </c>
      <c r="C33" s="938" t="s">
        <v>283</v>
      </c>
      <c r="D33" s="909"/>
      <c r="E33" s="939" t="s">
        <v>283</v>
      </c>
      <c r="F33" s="910"/>
      <c r="G33" s="938" t="s">
        <v>283</v>
      </c>
      <c r="H33" s="909"/>
      <c r="I33" s="939" t="s">
        <v>283</v>
      </c>
      <c r="J33" s="910"/>
      <c r="K33" s="938" t="s">
        <v>283</v>
      </c>
      <c r="L33" s="909"/>
      <c r="M33" s="939" t="s">
        <v>283</v>
      </c>
      <c r="N33" s="910"/>
    </row>
    <row r="34" spans="1:14" s="556" customFormat="1" ht="15">
      <c r="A34" s="911">
        <v>4</v>
      </c>
      <c r="B34" s="940" t="s">
        <v>846</v>
      </c>
      <c r="C34" s="941" t="s">
        <v>283</v>
      </c>
      <c r="D34" s="942">
        <f>SUM(D35:D51)</f>
        <v>0</v>
      </c>
      <c r="E34" s="942" t="s">
        <v>283</v>
      </c>
      <c r="F34" s="943">
        <f aca="true" t="shared" si="2" ref="F34:N34">SUM(F35:F51)</f>
        <v>0</v>
      </c>
      <c r="G34" s="941" t="s">
        <v>283</v>
      </c>
      <c r="H34" s="942">
        <f t="shared" si="2"/>
        <v>0</v>
      </c>
      <c r="I34" s="942" t="s">
        <v>283</v>
      </c>
      <c r="J34" s="943">
        <f t="shared" si="2"/>
        <v>0</v>
      </c>
      <c r="K34" s="941" t="s">
        <v>283</v>
      </c>
      <c r="L34" s="942">
        <f t="shared" si="2"/>
        <v>0</v>
      </c>
      <c r="M34" s="942" t="s">
        <v>283</v>
      </c>
      <c r="N34" s="943">
        <f t="shared" si="2"/>
        <v>0</v>
      </c>
    </row>
    <row r="35" spans="1:14" ht="15">
      <c r="A35" s="912" t="str">
        <f aca="true" t="shared" si="3" ref="A35:A50">A$34&amp;"."&amp;ROW(A1)</f>
        <v>4.1</v>
      </c>
      <c r="B35" s="937" t="s">
        <v>847</v>
      </c>
      <c r="C35" s="913"/>
      <c r="D35" s="909"/>
      <c r="E35" s="909"/>
      <c r="F35" s="910"/>
      <c r="G35" s="914"/>
      <c r="H35" s="909"/>
      <c r="I35" s="297"/>
      <c r="J35" s="910"/>
      <c r="K35" s="914"/>
      <c r="L35" s="909"/>
      <c r="M35" s="297"/>
      <c r="N35" s="910"/>
    </row>
    <row r="36" spans="1:14" ht="15">
      <c r="A36" s="912" t="str">
        <f t="shared" si="3"/>
        <v>4.2</v>
      </c>
      <c r="B36" s="937" t="s">
        <v>848</v>
      </c>
      <c r="C36" s="913"/>
      <c r="D36" s="909"/>
      <c r="E36" s="909"/>
      <c r="F36" s="910"/>
      <c r="G36" s="914"/>
      <c r="H36" s="909"/>
      <c r="I36" s="297"/>
      <c r="J36" s="910"/>
      <c r="K36" s="914"/>
      <c r="L36" s="909"/>
      <c r="M36" s="297"/>
      <c r="N36" s="910"/>
    </row>
    <row r="37" spans="1:14" ht="15">
      <c r="A37" s="912" t="str">
        <f t="shared" si="3"/>
        <v>4.3</v>
      </c>
      <c r="B37" s="937" t="s">
        <v>849</v>
      </c>
      <c r="C37" s="913"/>
      <c r="D37" s="909"/>
      <c r="E37" s="909"/>
      <c r="F37" s="910"/>
      <c r="G37" s="914"/>
      <c r="H37" s="909"/>
      <c r="I37" s="297"/>
      <c r="J37" s="910"/>
      <c r="K37" s="914"/>
      <c r="L37" s="909"/>
      <c r="M37" s="297"/>
      <c r="N37" s="910"/>
    </row>
    <row r="38" spans="1:14" ht="15">
      <c r="A38" s="912" t="str">
        <f t="shared" si="3"/>
        <v>4.4</v>
      </c>
      <c r="B38" s="937" t="s">
        <v>850</v>
      </c>
      <c r="C38" s="913"/>
      <c r="D38" s="909"/>
      <c r="E38" s="909"/>
      <c r="F38" s="910"/>
      <c r="G38" s="914"/>
      <c r="H38" s="909"/>
      <c r="I38" s="297"/>
      <c r="J38" s="910"/>
      <c r="K38" s="914"/>
      <c r="L38" s="909"/>
      <c r="M38" s="297"/>
      <c r="N38" s="910"/>
    </row>
    <row r="39" spans="1:14" ht="15">
      <c r="A39" s="912" t="str">
        <f t="shared" si="3"/>
        <v>4.5</v>
      </c>
      <c r="B39" s="937" t="s">
        <v>850</v>
      </c>
      <c r="C39" s="913"/>
      <c r="D39" s="909"/>
      <c r="E39" s="909"/>
      <c r="F39" s="910"/>
      <c r="G39" s="914"/>
      <c r="H39" s="909"/>
      <c r="I39" s="297"/>
      <c r="J39" s="910"/>
      <c r="K39" s="914"/>
      <c r="L39" s="909"/>
      <c r="M39" s="297"/>
      <c r="N39" s="910"/>
    </row>
    <row r="40" spans="1:14" ht="15">
      <c r="A40" s="912" t="str">
        <f t="shared" si="3"/>
        <v>4.6</v>
      </c>
      <c r="B40" s="915"/>
      <c r="C40" s="913"/>
      <c r="D40" s="909"/>
      <c r="E40" s="909"/>
      <c r="F40" s="910"/>
      <c r="G40" s="914"/>
      <c r="H40" s="909"/>
      <c r="I40" s="297"/>
      <c r="J40" s="910"/>
      <c r="K40" s="914"/>
      <c r="L40" s="909"/>
      <c r="M40" s="297"/>
      <c r="N40" s="910"/>
    </row>
    <row r="41" spans="1:14" ht="15">
      <c r="A41" s="912" t="str">
        <f t="shared" si="3"/>
        <v>4.7</v>
      </c>
      <c r="B41" s="915"/>
      <c r="C41" s="913"/>
      <c r="D41" s="909"/>
      <c r="E41" s="909"/>
      <c r="F41" s="910"/>
      <c r="G41" s="914"/>
      <c r="H41" s="909"/>
      <c r="I41" s="297"/>
      <c r="J41" s="910"/>
      <c r="K41" s="914"/>
      <c r="L41" s="909"/>
      <c r="M41" s="297"/>
      <c r="N41" s="910"/>
    </row>
    <row r="42" spans="1:14" ht="15">
      <c r="A42" s="916" t="str">
        <f t="shared" si="3"/>
        <v>4.8</v>
      </c>
      <c r="B42" s="917"/>
      <c r="C42" s="918"/>
      <c r="D42" s="919"/>
      <c r="E42" s="919"/>
      <c r="F42" s="920"/>
      <c r="G42" s="921"/>
      <c r="H42" s="919"/>
      <c r="I42" s="922"/>
      <c r="J42" s="920"/>
      <c r="K42" s="921"/>
      <c r="L42" s="919"/>
      <c r="M42" s="922"/>
      <c r="N42" s="920"/>
    </row>
    <row r="43" spans="1:14" ht="15">
      <c r="A43" s="916" t="str">
        <f t="shared" si="3"/>
        <v>4.9</v>
      </c>
      <c r="B43" s="917"/>
      <c r="C43" s="918"/>
      <c r="D43" s="919"/>
      <c r="E43" s="919"/>
      <c r="F43" s="920"/>
      <c r="G43" s="921"/>
      <c r="H43" s="919"/>
      <c r="I43" s="922"/>
      <c r="J43" s="920"/>
      <c r="K43" s="921"/>
      <c r="L43" s="919"/>
      <c r="M43" s="922"/>
      <c r="N43" s="920"/>
    </row>
    <row r="44" spans="1:14" ht="15">
      <c r="A44" s="916" t="str">
        <f t="shared" si="3"/>
        <v>4.10</v>
      </c>
      <c r="B44" s="917"/>
      <c r="C44" s="918"/>
      <c r="D44" s="919"/>
      <c r="E44" s="919"/>
      <c r="F44" s="920"/>
      <c r="G44" s="921"/>
      <c r="H44" s="919"/>
      <c r="I44" s="922"/>
      <c r="J44" s="920"/>
      <c r="K44" s="921"/>
      <c r="L44" s="919"/>
      <c r="M44" s="922"/>
      <c r="N44" s="920"/>
    </row>
    <row r="45" spans="1:14" ht="15">
      <c r="A45" s="916" t="str">
        <f t="shared" si="3"/>
        <v>4.11</v>
      </c>
      <c r="B45" s="917"/>
      <c r="C45" s="918"/>
      <c r="D45" s="919"/>
      <c r="E45" s="919"/>
      <c r="F45" s="920"/>
      <c r="G45" s="921"/>
      <c r="H45" s="919"/>
      <c r="I45" s="922"/>
      <c r="J45" s="920"/>
      <c r="K45" s="921"/>
      <c r="L45" s="919"/>
      <c r="M45" s="922"/>
      <c r="N45" s="920"/>
    </row>
    <row r="46" spans="1:14" ht="15">
      <c r="A46" s="916" t="str">
        <f t="shared" si="3"/>
        <v>4.12</v>
      </c>
      <c r="B46" s="917"/>
      <c r="C46" s="918"/>
      <c r="D46" s="919"/>
      <c r="E46" s="919"/>
      <c r="F46" s="920"/>
      <c r="G46" s="921"/>
      <c r="H46" s="919"/>
      <c r="I46" s="922"/>
      <c r="J46" s="920"/>
      <c r="K46" s="921"/>
      <c r="L46" s="919"/>
      <c r="M46" s="922"/>
      <c r="N46" s="920"/>
    </row>
    <row r="47" spans="1:14" ht="15">
      <c r="A47" s="916" t="str">
        <f t="shared" si="3"/>
        <v>4.13</v>
      </c>
      <c r="B47" s="917"/>
      <c r="C47" s="918"/>
      <c r="D47" s="919"/>
      <c r="E47" s="919"/>
      <c r="F47" s="920"/>
      <c r="G47" s="921"/>
      <c r="H47" s="919"/>
      <c r="I47" s="922"/>
      <c r="J47" s="920"/>
      <c r="K47" s="921"/>
      <c r="L47" s="919"/>
      <c r="M47" s="922"/>
      <c r="N47" s="920"/>
    </row>
    <row r="48" spans="1:14" ht="15">
      <c r="A48" s="916" t="str">
        <f t="shared" si="3"/>
        <v>4.14</v>
      </c>
      <c r="B48" s="917"/>
      <c r="C48" s="918"/>
      <c r="D48" s="919"/>
      <c r="E48" s="919"/>
      <c r="F48" s="920"/>
      <c r="G48" s="921"/>
      <c r="H48" s="919"/>
      <c r="I48" s="922"/>
      <c r="J48" s="920"/>
      <c r="K48" s="921"/>
      <c r="L48" s="919"/>
      <c r="M48" s="922"/>
      <c r="N48" s="920"/>
    </row>
    <row r="49" spans="1:14" ht="15">
      <c r="A49" s="916" t="str">
        <f t="shared" si="3"/>
        <v>4.15</v>
      </c>
      <c r="B49" s="917"/>
      <c r="C49" s="918"/>
      <c r="D49" s="919"/>
      <c r="E49" s="919"/>
      <c r="F49" s="920"/>
      <c r="G49" s="921"/>
      <c r="H49" s="919"/>
      <c r="I49" s="922"/>
      <c r="J49" s="920"/>
      <c r="K49" s="921"/>
      <c r="L49" s="919"/>
      <c r="M49" s="922"/>
      <c r="N49" s="920"/>
    </row>
    <row r="50" spans="1:14" ht="15">
      <c r="A50" s="916" t="str">
        <f t="shared" si="3"/>
        <v>4.16</v>
      </c>
      <c r="B50" s="917"/>
      <c r="C50" s="918"/>
      <c r="D50" s="919"/>
      <c r="E50" s="919"/>
      <c r="F50" s="920"/>
      <c r="G50" s="921"/>
      <c r="H50" s="919"/>
      <c r="I50" s="922"/>
      <c r="J50" s="920"/>
      <c r="K50" s="921"/>
      <c r="L50" s="919"/>
      <c r="M50" s="922"/>
      <c r="N50" s="920"/>
    </row>
    <row r="51" spans="1:14" ht="17.25" customHeight="1" thickBot="1">
      <c r="A51" s="923"/>
      <c r="B51" s="924" t="s">
        <v>798</v>
      </c>
      <c r="C51" s="925"/>
      <c r="D51" s="926"/>
      <c r="E51" s="926"/>
      <c r="F51" s="927"/>
      <c r="G51" s="925"/>
      <c r="H51" s="926"/>
      <c r="I51" s="926"/>
      <c r="J51" s="927"/>
      <c r="K51" s="925"/>
      <c r="L51" s="926"/>
      <c r="M51" s="926"/>
      <c r="N51" s="927"/>
    </row>
    <row r="52" spans="1:13" ht="11.25">
      <c r="A52" s="558"/>
      <c r="B52" s="558"/>
      <c r="C52" s="558"/>
      <c r="D52" s="558"/>
      <c r="E52" s="558"/>
      <c r="F52" s="558"/>
      <c r="G52" s="558"/>
      <c r="H52" s="558"/>
      <c r="I52" s="558"/>
      <c r="J52" s="558"/>
      <c r="K52" s="558"/>
      <c r="L52" s="558"/>
      <c r="M52" s="558"/>
    </row>
    <row r="53" spans="1:13" ht="11.25">
      <c r="A53" s="558"/>
      <c r="B53" s="558"/>
      <c r="C53" s="558"/>
      <c r="D53" s="558"/>
      <c r="E53" s="558"/>
      <c r="F53" s="558"/>
      <c r="G53" s="558"/>
      <c r="H53" s="558"/>
      <c r="I53" s="558"/>
      <c r="J53" s="558"/>
      <c r="K53" s="558"/>
      <c r="L53" s="558"/>
      <c r="M53" s="558"/>
    </row>
    <row r="54" spans="1:13" ht="11.25">
      <c r="A54" s="558"/>
      <c r="B54" s="558"/>
      <c r="C54" s="558"/>
      <c r="D54" s="558"/>
      <c r="E54" s="558"/>
      <c r="F54" s="558"/>
      <c r="G54" s="558"/>
      <c r="H54" s="558"/>
      <c r="I54" s="558"/>
      <c r="J54" s="558"/>
      <c r="K54" s="558"/>
      <c r="L54" s="558"/>
      <c r="M54" s="558"/>
    </row>
    <row r="55" spans="1:13" ht="11.25">
      <c r="A55" s="558"/>
      <c r="B55" s="558"/>
      <c r="C55" s="558"/>
      <c r="D55" s="558"/>
      <c r="E55" s="558"/>
      <c r="F55" s="558"/>
      <c r="G55" s="558"/>
      <c r="H55" s="558"/>
      <c r="I55" s="558"/>
      <c r="J55" s="558"/>
      <c r="K55" s="558"/>
      <c r="L55" s="558"/>
      <c r="M55" s="558"/>
    </row>
    <row r="56" spans="1:2" ht="14.25" customHeight="1">
      <c r="A56" s="564"/>
      <c r="B56" s="564" t="s">
        <v>350</v>
      </c>
    </row>
    <row r="57" spans="1:2" ht="14.25" customHeight="1">
      <c r="A57" s="565"/>
      <c r="B57" s="565"/>
    </row>
    <row r="58" spans="1:3" ht="11.25">
      <c r="A58" s="568"/>
      <c r="B58" s="886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  <c r="C58" s="568"/>
    </row>
    <row r="59" spans="1:13" ht="15">
      <c r="A59" s="568"/>
      <c r="B59" s="1008" t="s">
        <v>219</v>
      </c>
      <c r="D59" s="568"/>
      <c r="E59" s="568"/>
      <c r="F59" s="568"/>
      <c r="G59" s="568"/>
      <c r="H59" s="568"/>
      <c r="I59" s="568"/>
      <c r="J59" s="568"/>
      <c r="K59" s="568"/>
      <c r="L59" s="568"/>
      <c r="M59" s="568"/>
    </row>
  </sheetData>
  <sheetProtection password="CF72" sheet="1" objects="1" scenarios="1"/>
  <mergeCells count="15">
    <mergeCell ref="A2:E2"/>
    <mergeCell ref="A6:A9"/>
    <mergeCell ref="B6:B9"/>
    <mergeCell ref="C6:F6"/>
    <mergeCell ref="G6:J6"/>
    <mergeCell ref="K6:N6"/>
    <mergeCell ref="C7:D7"/>
    <mergeCell ref="E7:F8"/>
    <mergeCell ref="G7:J7"/>
    <mergeCell ref="K7:N7"/>
    <mergeCell ref="C8:D8"/>
    <mergeCell ref="G8:H8"/>
    <mergeCell ref="I8:J8"/>
    <mergeCell ref="K8:L8"/>
    <mergeCell ref="M8:N8"/>
  </mergeCells>
  <conditionalFormatting sqref="A19:C19 E19 O19:IV19">
    <cfRule type="cellIs" priority="11" dxfId="18" operator="equal" stopIfTrue="1">
      <formula>"ошибка"</formula>
    </cfRule>
  </conditionalFormatting>
  <conditionalFormatting sqref="D19">
    <cfRule type="cellIs" priority="10" dxfId="18" operator="equal" stopIfTrue="1">
      <formula>"ошибка"</formula>
    </cfRule>
  </conditionalFormatting>
  <conditionalFormatting sqref="G19">
    <cfRule type="cellIs" priority="9" dxfId="18" operator="equal" stopIfTrue="1">
      <formula>"ошибка"</formula>
    </cfRule>
  </conditionalFormatting>
  <conditionalFormatting sqref="I19">
    <cfRule type="cellIs" priority="8" dxfId="18" operator="equal" stopIfTrue="1">
      <formula>"ошибка"</formula>
    </cfRule>
  </conditionalFormatting>
  <conditionalFormatting sqref="K19">
    <cfRule type="cellIs" priority="7" dxfId="18" operator="equal" stopIfTrue="1">
      <formula>"ошибка"</formula>
    </cfRule>
  </conditionalFormatting>
  <conditionalFormatting sqref="M19">
    <cfRule type="cellIs" priority="6" dxfId="18" operator="equal" stopIfTrue="1">
      <formula>"ошибка"</formula>
    </cfRule>
  </conditionalFormatting>
  <conditionalFormatting sqref="F19">
    <cfRule type="cellIs" priority="5" dxfId="18" operator="equal" stopIfTrue="1">
      <formula>"ошибка"</formula>
    </cfRule>
  </conditionalFormatting>
  <conditionalFormatting sqref="H19">
    <cfRule type="cellIs" priority="4" dxfId="18" operator="equal" stopIfTrue="1">
      <formula>"ошибка"</formula>
    </cfRule>
  </conditionalFormatting>
  <conditionalFormatting sqref="J19">
    <cfRule type="cellIs" priority="3" dxfId="18" operator="equal" stopIfTrue="1">
      <formula>"ошибка"</formula>
    </cfRule>
  </conditionalFormatting>
  <conditionalFormatting sqref="L19">
    <cfRule type="cellIs" priority="2" dxfId="18" operator="equal" stopIfTrue="1">
      <formula>"ошибка"</formula>
    </cfRule>
  </conditionalFormatting>
  <conditionalFormatting sqref="N19">
    <cfRule type="cellIs" priority="1" dxfId="18" operator="equal" stopIfTrue="1">
      <formula>"ошибка"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B2:P40"/>
  <sheetViews>
    <sheetView zoomScalePageLayoutView="0" workbookViewId="0" topLeftCell="A4">
      <selection activeCell="E13" sqref="E13"/>
    </sheetView>
  </sheetViews>
  <sheetFormatPr defaultColWidth="8.8515625" defaultRowHeight="15"/>
  <cols>
    <col min="1" max="1" width="8.8515625" style="1196" customWidth="1"/>
    <col min="2" max="2" width="16.00390625" style="1216" customWidth="1"/>
    <col min="3" max="3" width="61.57421875" style="1220" customWidth="1"/>
    <col min="4" max="4" width="15.8515625" style="1221" customWidth="1"/>
    <col min="5" max="5" width="23.28125" style="1221" customWidth="1"/>
    <col min="6" max="7" width="15.00390625" style="1221" customWidth="1"/>
    <col min="8" max="8" width="23.7109375" style="1221" customWidth="1"/>
    <col min="9" max="10" width="15.00390625" style="1221" customWidth="1"/>
    <col min="11" max="13" width="15.28125" style="1222" customWidth="1"/>
    <col min="14" max="14" width="10.57421875" style="1216" hidden="1" customWidth="1"/>
    <col min="15" max="15" width="9.7109375" style="1216" hidden="1" customWidth="1"/>
    <col min="16" max="16" width="9.140625" style="1216" hidden="1" customWidth="1"/>
    <col min="17" max="16384" width="8.8515625" style="1196" customWidth="1"/>
  </cols>
  <sheetData>
    <row r="2" spans="2:16" ht="18.75">
      <c r="B2" s="1303" t="s">
        <v>1218</v>
      </c>
      <c r="C2" s="1303"/>
      <c r="D2" s="1303"/>
      <c r="E2" s="1303"/>
      <c r="F2" s="1303"/>
      <c r="G2" s="1303"/>
      <c r="H2" s="1303"/>
      <c r="I2" s="1303"/>
      <c r="J2" s="1303"/>
      <c r="K2" s="1303"/>
      <c r="L2" s="1303"/>
      <c r="M2" s="1303"/>
      <c r="N2" s="1303"/>
      <c r="O2" s="1303"/>
      <c r="P2" s="1303"/>
    </row>
    <row r="3" spans="2:16" ht="18.75">
      <c r="B3" s="1304" t="str">
        <f>Титульный!B10&amp;" "&amp;Титульный!B11</f>
        <v>ООО "Дирекция Голицыно-3" Наро-Фоминский м.р.</v>
      </c>
      <c r="C3" s="1304"/>
      <c r="D3" s="1304"/>
      <c r="E3" s="1304"/>
      <c r="F3" s="1304"/>
      <c r="G3" s="1304"/>
      <c r="H3" s="1304"/>
      <c r="I3" s="1304"/>
      <c r="J3" s="1304"/>
      <c r="K3" s="1304"/>
      <c r="L3" s="1304"/>
      <c r="M3" s="1304"/>
      <c r="N3" s="1304"/>
      <c r="O3" s="1304"/>
      <c r="P3" s="1304"/>
    </row>
    <row r="4" spans="2:16" ht="15.75">
      <c r="B4" s="1305"/>
      <c r="C4" s="1305"/>
      <c r="D4" s="1305"/>
      <c r="E4" s="1305"/>
      <c r="F4" s="1305"/>
      <c r="G4" s="1305"/>
      <c r="H4" s="1305"/>
      <c r="I4" s="1305"/>
      <c r="J4" s="1305"/>
      <c r="K4" s="1305"/>
      <c r="L4" s="1305"/>
      <c r="M4" s="1305"/>
      <c r="N4" s="1305"/>
      <c r="O4" s="1305"/>
      <c r="P4" s="1305"/>
    </row>
    <row r="6" spans="2:16" s="1197" customFormat="1" ht="38.25" customHeight="1">
      <c r="B6" s="1302" t="s">
        <v>238</v>
      </c>
      <c r="C6" s="1306" t="s">
        <v>239</v>
      </c>
      <c r="D6" s="1306" t="s">
        <v>1219</v>
      </c>
      <c r="E6" s="1307" t="s">
        <v>1220</v>
      </c>
      <c r="F6" s="1307" t="s">
        <v>1221</v>
      </c>
      <c r="G6" s="1307" t="s">
        <v>1222</v>
      </c>
      <c r="H6" s="1307" t="s">
        <v>1223</v>
      </c>
      <c r="I6" s="1310" t="s">
        <v>1224</v>
      </c>
      <c r="J6" s="1311"/>
      <c r="K6" s="1312" t="s">
        <v>1225</v>
      </c>
      <c r="L6" s="1312"/>
      <c r="M6" s="1312" t="s">
        <v>1226</v>
      </c>
      <c r="N6" s="1302" t="s">
        <v>562</v>
      </c>
      <c r="O6" s="1302" t="s">
        <v>563</v>
      </c>
      <c r="P6" s="1302" t="s">
        <v>564</v>
      </c>
    </row>
    <row r="7" spans="2:16" s="1197" customFormat="1" ht="38.25" customHeight="1">
      <c r="B7" s="1302"/>
      <c r="C7" s="1306"/>
      <c r="D7" s="1306"/>
      <c r="E7" s="1308"/>
      <c r="F7" s="1308"/>
      <c r="G7" s="1308"/>
      <c r="H7" s="1308"/>
      <c r="I7" s="1198" t="s">
        <v>451</v>
      </c>
      <c r="J7" s="1198" t="s">
        <v>452</v>
      </c>
      <c r="K7" s="1107" t="s">
        <v>1227</v>
      </c>
      <c r="L7" s="1107" t="s">
        <v>1228</v>
      </c>
      <c r="M7" s="1312"/>
      <c r="N7" s="1302"/>
      <c r="O7" s="1302"/>
      <c r="P7" s="1302"/>
    </row>
    <row r="8" spans="2:16" s="1197" customFormat="1" ht="21.75" customHeight="1">
      <c r="B8" s="1199">
        <v>1</v>
      </c>
      <c r="C8" s="1105" t="s">
        <v>1229</v>
      </c>
      <c r="D8" s="1065" t="s">
        <v>1230</v>
      </c>
      <c r="E8" s="1200" t="s">
        <v>283</v>
      </c>
      <c r="F8" s="1200" t="s">
        <v>283</v>
      </c>
      <c r="G8" s="1200" t="s">
        <v>283</v>
      </c>
      <c r="H8" s="1200" t="s">
        <v>283</v>
      </c>
      <c r="I8" s="1200" t="s">
        <v>283</v>
      </c>
      <c r="J8" s="1200" t="s">
        <v>283</v>
      </c>
      <c r="K8" s="1201">
        <v>0.6</v>
      </c>
      <c r="L8" s="1201">
        <v>0.6</v>
      </c>
      <c r="M8" s="1201">
        <v>0.6</v>
      </c>
      <c r="N8" s="1065"/>
      <c r="O8" s="1199"/>
      <c r="P8" s="1199"/>
    </row>
    <row r="9" spans="2:16" s="1197" customFormat="1" ht="21" customHeight="1">
      <c r="B9" s="1199">
        <v>2</v>
      </c>
      <c r="C9" s="1105" t="s">
        <v>1231</v>
      </c>
      <c r="D9" s="1065" t="s">
        <v>1230</v>
      </c>
      <c r="E9" s="1200" t="s">
        <v>283</v>
      </c>
      <c r="F9" s="1200" t="s">
        <v>283</v>
      </c>
      <c r="G9" s="1200" t="s">
        <v>283</v>
      </c>
      <c r="H9" s="1200" t="s">
        <v>283</v>
      </c>
      <c r="I9" s="1200" t="s">
        <v>283</v>
      </c>
      <c r="J9" s="1200" t="s">
        <v>283</v>
      </c>
      <c r="K9" s="1201">
        <v>0.25</v>
      </c>
      <c r="L9" s="1201">
        <v>0.25</v>
      </c>
      <c r="M9" s="1201">
        <v>0.25</v>
      </c>
      <c r="N9" s="1199"/>
      <c r="O9" s="1199"/>
      <c r="P9" s="1199"/>
    </row>
    <row r="10" spans="2:16" s="1197" customFormat="1" ht="21" customHeight="1">
      <c r="B10" s="1199">
        <v>3</v>
      </c>
      <c r="C10" s="1105" t="s">
        <v>1232</v>
      </c>
      <c r="D10" s="1065" t="s">
        <v>23</v>
      </c>
      <c r="E10" s="1200" t="s">
        <v>283</v>
      </c>
      <c r="F10" s="1200" t="s">
        <v>283</v>
      </c>
      <c r="G10" s="1200" t="s">
        <v>283</v>
      </c>
      <c r="H10" s="1200" t="s">
        <v>283</v>
      </c>
      <c r="I10" s="1200" t="s">
        <v>283</v>
      </c>
      <c r="J10" s="1200" t="s">
        <v>283</v>
      </c>
      <c r="K10" s="1201">
        <v>100</v>
      </c>
      <c r="L10" s="1201">
        <v>100</v>
      </c>
      <c r="M10" s="1201">
        <v>100</v>
      </c>
      <c r="N10" s="1199"/>
      <c r="O10" s="1199"/>
      <c r="P10" s="1199"/>
    </row>
    <row r="11" spans="2:16" s="1206" customFormat="1" ht="25.5" customHeight="1">
      <c r="B11" s="1202">
        <v>4</v>
      </c>
      <c r="C11" s="1203" t="s">
        <v>1233</v>
      </c>
      <c r="D11" s="1106" t="s">
        <v>821</v>
      </c>
      <c r="E11" s="1204" t="s">
        <v>283</v>
      </c>
      <c r="F11" s="1204" t="s">
        <v>283</v>
      </c>
      <c r="G11" s="1204" t="s">
        <v>283</v>
      </c>
      <c r="H11" s="1204" t="s">
        <v>283</v>
      </c>
      <c r="I11" s="1204" t="s">
        <v>283</v>
      </c>
      <c r="J11" s="1204" t="s">
        <v>283</v>
      </c>
      <c r="K11" s="1205">
        <f>SUM(K12:K14)</f>
        <v>3</v>
      </c>
      <c r="L11" s="1205">
        <f>SUM(L12:L14)</f>
        <v>3</v>
      </c>
      <c r="M11" s="1205">
        <f>SUM(M12:M14)</f>
        <v>3</v>
      </c>
      <c r="N11" s="1202"/>
      <c r="O11" s="1202"/>
      <c r="P11" s="1202"/>
    </row>
    <row r="12" spans="2:16" s="1197" customFormat="1" ht="24" customHeight="1">
      <c r="B12" s="1199" t="str">
        <f>B$11&amp;"."&amp;ROW(B1)</f>
        <v>4.1</v>
      </c>
      <c r="C12" s="1207" t="s">
        <v>1332</v>
      </c>
      <c r="D12" s="1065" t="s">
        <v>821</v>
      </c>
      <c r="E12" s="1208" t="s">
        <v>1335</v>
      </c>
      <c r="F12" s="1209"/>
      <c r="G12" s="1208"/>
      <c r="H12" s="1208"/>
      <c r="I12" s="1209"/>
      <c r="J12" s="1209"/>
      <c r="K12" s="1201">
        <v>2</v>
      </c>
      <c r="L12" s="1201">
        <v>2</v>
      </c>
      <c r="M12" s="1201">
        <v>2</v>
      </c>
      <c r="N12" s="1199"/>
      <c r="O12" s="1199"/>
      <c r="P12" s="1199"/>
    </row>
    <row r="13" spans="2:16" s="1197" customFormat="1" ht="24" customHeight="1">
      <c r="B13" s="1199" t="str">
        <f>B$11&amp;"."&amp;ROW(B2)</f>
        <v>4.2</v>
      </c>
      <c r="C13" s="1207" t="s">
        <v>1333</v>
      </c>
      <c r="D13" s="1065"/>
      <c r="E13" s="1208" t="s">
        <v>1335</v>
      </c>
      <c r="F13" s="1209"/>
      <c r="G13" s="1208"/>
      <c r="H13" s="1208"/>
      <c r="I13" s="1209"/>
      <c r="J13" s="1209"/>
      <c r="K13" s="1201">
        <v>1</v>
      </c>
      <c r="L13" s="1201">
        <v>1</v>
      </c>
      <c r="M13" s="1201">
        <v>1</v>
      </c>
      <c r="N13" s="1199"/>
      <c r="O13" s="1199"/>
      <c r="P13" s="1199"/>
    </row>
    <row r="14" spans="2:16" s="1197" customFormat="1" ht="15" customHeight="1">
      <c r="B14" s="847"/>
      <c r="C14" s="16" t="s">
        <v>798</v>
      </c>
      <c r="D14" s="16"/>
      <c r="E14" s="16"/>
      <c r="F14" s="16"/>
      <c r="G14" s="16"/>
      <c r="H14" s="16"/>
      <c r="I14" s="16"/>
      <c r="J14" s="16"/>
      <c r="K14" s="1210"/>
      <c r="L14" s="1210"/>
      <c r="M14" s="1210"/>
      <c r="N14" s="1199"/>
      <c r="O14" s="1199"/>
      <c r="P14" s="1199"/>
    </row>
    <row r="15" spans="2:16" s="1206" customFormat="1" ht="20.25" customHeight="1">
      <c r="B15" s="1202">
        <v>5</v>
      </c>
      <c r="C15" s="1203" t="s">
        <v>1234</v>
      </c>
      <c r="D15" s="1106" t="s">
        <v>821</v>
      </c>
      <c r="E15" s="1204" t="s">
        <v>283</v>
      </c>
      <c r="F15" s="1204" t="s">
        <v>283</v>
      </c>
      <c r="G15" s="1204" t="s">
        <v>283</v>
      </c>
      <c r="H15" s="1204" t="s">
        <v>283</v>
      </c>
      <c r="I15" s="1204" t="s">
        <v>283</v>
      </c>
      <c r="J15" s="1204" t="s">
        <v>283</v>
      </c>
      <c r="K15" s="1205">
        <f>SUM(K16:K17)</f>
        <v>2</v>
      </c>
      <c r="L15" s="1205">
        <f>SUM(L16:L17)</f>
        <v>2</v>
      </c>
      <c r="M15" s="1205">
        <f>SUM(M16:M17)</f>
        <v>2</v>
      </c>
      <c r="N15" s="1106"/>
      <c r="O15" s="1202"/>
      <c r="P15" s="1202"/>
    </row>
    <row r="16" spans="2:16" s="1197" customFormat="1" ht="24" customHeight="1">
      <c r="B16" s="1199" t="str">
        <f>B$15&amp;"."&amp;ROW(B1)</f>
        <v>5.1</v>
      </c>
      <c r="C16" s="1207" t="s">
        <v>1334</v>
      </c>
      <c r="D16" s="1065" t="s">
        <v>821</v>
      </c>
      <c r="E16" s="1208" t="s">
        <v>1335</v>
      </c>
      <c r="F16" s="1209"/>
      <c r="G16" s="1208"/>
      <c r="H16" s="1208"/>
      <c r="I16" s="1209"/>
      <c r="J16" s="1209"/>
      <c r="K16" s="1201">
        <v>2</v>
      </c>
      <c r="L16" s="1201">
        <v>2</v>
      </c>
      <c r="M16" s="1201">
        <v>2</v>
      </c>
      <c r="N16" s="1199"/>
      <c r="O16" s="1199"/>
      <c r="P16" s="1199"/>
    </row>
    <row r="17" spans="2:16" s="1197" customFormat="1" ht="15" customHeight="1">
      <c r="B17" s="847"/>
      <c r="C17" s="16" t="s">
        <v>798</v>
      </c>
      <c r="D17" s="16"/>
      <c r="E17" s="16"/>
      <c r="F17" s="16"/>
      <c r="G17" s="16"/>
      <c r="H17" s="16"/>
      <c r="I17" s="16"/>
      <c r="J17" s="16"/>
      <c r="K17" s="1210"/>
      <c r="L17" s="1210"/>
      <c r="M17" s="1210"/>
      <c r="N17" s="1199"/>
      <c r="O17" s="1199"/>
      <c r="P17" s="1199"/>
    </row>
    <row r="18" spans="2:16" s="1206" customFormat="1" ht="23.25" customHeight="1">
      <c r="B18" s="1202">
        <v>6</v>
      </c>
      <c r="C18" s="1203" t="s">
        <v>1235</v>
      </c>
      <c r="D18" s="1106" t="s">
        <v>821</v>
      </c>
      <c r="E18" s="1204" t="s">
        <v>283</v>
      </c>
      <c r="F18" s="1204" t="s">
        <v>283</v>
      </c>
      <c r="G18" s="1204" t="s">
        <v>283</v>
      </c>
      <c r="H18" s="1204" t="s">
        <v>283</v>
      </c>
      <c r="I18" s="1204" t="s">
        <v>283</v>
      </c>
      <c r="J18" s="1204" t="s">
        <v>283</v>
      </c>
      <c r="K18" s="1205">
        <f>SUM(K19:K21)</f>
        <v>0</v>
      </c>
      <c r="L18" s="1205">
        <f>SUM(L19:L21)</f>
        <v>0</v>
      </c>
      <c r="M18" s="1205">
        <f>SUM(M19:M21)</f>
        <v>0</v>
      </c>
      <c r="N18" s="1106"/>
      <c r="O18" s="1202"/>
      <c r="P18" s="1202"/>
    </row>
    <row r="19" spans="2:16" s="1197" customFormat="1" ht="24" customHeight="1">
      <c r="B19" s="1199" t="str">
        <f>B$18&amp;"."&amp;ROW(B1)</f>
        <v>6.1</v>
      </c>
      <c r="C19" s="1207"/>
      <c r="D19" s="1065" t="s">
        <v>821</v>
      </c>
      <c r="E19" s="1208"/>
      <c r="F19" s="1209"/>
      <c r="G19" s="1208"/>
      <c r="H19" s="1208"/>
      <c r="I19" s="1209"/>
      <c r="J19" s="1209"/>
      <c r="K19" s="1201"/>
      <c r="L19" s="1201"/>
      <c r="M19" s="1201"/>
      <c r="N19" s="1199"/>
      <c r="O19" s="1199"/>
      <c r="P19" s="1199"/>
    </row>
    <row r="20" spans="2:16" s="1197" customFormat="1" ht="24" customHeight="1">
      <c r="B20" s="1199" t="str">
        <f>B$18&amp;"."&amp;ROW(B2)</f>
        <v>6.2</v>
      </c>
      <c r="C20" s="1207"/>
      <c r="D20" s="1065"/>
      <c r="E20" s="1208"/>
      <c r="F20" s="1209"/>
      <c r="G20" s="1208"/>
      <c r="H20" s="1208"/>
      <c r="I20" s="1209"/>
      <c r="J20" s="1209"/>
      <c r="K20" s="1201"/>
      <c r="L20" s="1201"/>
      <c r="M20" s="1201"/>
      <c r="N20" s="1199"/>
      <c r="O20" s="1199"/>
      <c r="P20" s="1199"/>
    </row>
    <row r="21" spans="2:16" s="1197" customFormat="1" ht="15" customHeight="1">
      <c r="B21" s="847"/>
      <c r="C21" s="16" t="s">
        <v>798</v>
      </c>
      <c r="D21" s="16"/>
      <c r="E21" s="16"/>
      <c r="F21" s="16"/>
      <c r="G21" s="16"/>
      <c r="H21" s="16"/>
      <c r="I21" s="16"/>
      <c r="J21" s="16"/>
      <c r="K21" s="1210"/>
      <c r="L21" s="1210"/>
      <c r="M21" s="1210"/>
      <c r="N21" s="1199"/>
      <c r="O21" s="1199"/>
      <c r="P21" s="1199"/>
    </row>
    <row r="22" spans="2:16" s="1206" customFormat="1" ht="24" customHeight="1">
      <c r="B22" s="1202">
        <v>7</v>
      </c>
      <c r="C22" s="1203" t="s">
        <v>1236</v>
      </c>
      <c r="D22" s="1106" t="s">
        <v>821</v>
      </c>
      <c r="E22" s="1204" t="s">
        <v>283</v>
      </c>
      <c r="F22" s="1204" t="s">
        <v>283</v>
      </c>
      <c r="G22" s="1204" t="s">
        <v>283</v>
      </c>
      <c r="H22" s="1204" t="s">
        <v>283</v>
      </c>
      <c r="I22" s="1204" t="s">
        <v>283</v>
      </c>
      <c r="J22" s="1204" t="s">
        <v>283</v>
      </c>
      <c r="K22" s="1205">
        <f>SUM(K23:K24)</f>
        <v>0</v>
      </c>
      <c r="L22" s="1205">
        <f>SUM(L23:L24)</f>
        <v>0</v>
      </c>
      <c r="M22" s="1205">
        <f>SUM(M23:M24)</f>
        <v>0</v>
      </c>
      <c r="N22" s="1106"/>
      <c r="O22" s="1202"/>
      <c r="P22" s="1202"/>
    </row>
    <row r="23" spans="2:16" s="1197" customFormat="1" ht="24" customHeight="1">
      <c r="B23" s="1199" t="str">
        <f>B$22&amp;"."&amp;ROW(B1)</f>
        <v>7.1</v>
      </c>
      <c r="C23" s="1207"/>
      <c r="D23" s="1065" t="s">
        <v>821</v>
      </c>
      <c r="E23" s="1208"/>
      <c r="F23" s="1209"/>
      <c r="G23" s="1208"/>
      <c r="H23" s="1208"/>
      <c r="I23" s="1209"/>
      <c r="J23" s="1209"/>
      <c r="K23" s="1201"/>
      <c r="L23" s="1201"/>
      <c r="M23" s="1201"/>
      <c r="N23" s="1199"/>
      <c r="O23" s="1199"/>
      <c r="P23" s="1199"/>
    </row>
    <row r="24" spans="2:16" s="1197" customFormat="1" ht="15" customHeight="1">
      <c r="B24" s="847"/>
      <c r="C24" s="16" t="s">
        <v>798</v>
      </c>
      <c r="D24" s="16"/>
      <c r="E24" s="16"/>
      <c r="F24" s="16"/>
      <c r="G24" s="16"/>
      <c r="H24" s="16"/>
      <c r="I24" s="16"/>
      <c r="J24" s="16"/>
      <c r="K24" s="1210"/>
      <c r="L24" s="1210"/>
      <c r="M24" s="1210"/>
      <c r="N24" s="1199"/>
      <c r="O24" s="1199"/>
      <c r="P24" s="1199"/>
    </row>
    <row r="25" spans="2:16" s="1206" customFormat="1" ht="21.75" customHeight="1">
      <c r="B25" s="1202">
        <v>8</v>
      </c>
      <c r="C25" s="1203" t="s">
        <v>1237</v>
      </c>
      <c r="D25" s="1106" t="s">
        <v>270</v>
      </c>
      <c r="E25" s="1204" t="s">
        <v>283</v>
      </c>
      <c r="F25" s="1204" t="s">
        <v>283</v>
      </c>
      <c r="G25" s="1204" t="s">
        <v>283</v>
      </c>
      <c r="H25" s="1204" t="s">
        <v>283</v>
      </c>
      <c r="I25" s="1204" t="s">
        <v>283</v>
      </c>
      <c r="J25" s="1204" t="s">
        <v>283</v>
      </c>
      <c r="K25" s="1205">
        <f>SUM(K26:K28)</f>
        <v>7.8485</v>
      </c>
      <c r="L25" s="1205">
        <f>SUM(L26:L28)</f>
        <v>7.8485</v>
      </c>
      <c r="M25" s="1205">
        <f>SUM(M26:M28)</f>
        <v>7.8485</v>
      </c>
      <c r="N25" s="1202"/>
      <c r="O25" s="1202"/>
      <c r="P25" s="1202"/>
    </row>
    <row r="26" spans="2:16" s="1197" customFormat="1" ht="24" customHeight="1">
      <c r="B26" s="1199" t="str">
        <f>B$25&amp;"."&amp;ROW(B1)</f>
        <v>8.1</v>
      </c>
      <c r="C26" s="1207" t="s">
        <v>1336</v>
      </c>
      <c r="D26" s="1065" t="str">
        <f>D25</f>
        <v>км</v>
      </c>
      <c r="E26" s="1208" t="s">
        <v>1335</v>
      </c>
      <c r="F26" s="1209"/>
      <c r="G26" s="1208"/>
      <c r="H26" s="1208"/>
      <c r="I26" s="1209"/>
      <c r="J26" s="1209"/>
      <c r="K26" s="1201">
        <v>7.8485</v>
      </c>
      <c r="L26" s="1201">
        <v>7.8485</v>
      </c>
      <c r="M26" s="1201">
        <v>7.8485</v>
      </c>
      <c r="N26" s="1199"/>
      <c r="O26" s="1199"/>
      <c r="P26" s="1199"/>
    </row>
    <row r="27" spans="2:16" s="1197" customFormat="1" ht="24" customHeight="1">
      <c r="B27" s="1199" t="str">
        <f>B$25&amp;"."&amp;ROW(B2)</f>
        <v>8.2</v>
      </c>
      <c r="C27" s="1207"/>
      <c r="D27" s="1065" t="str">
        <f>D26</f>
        <v>км</v>
      </c>
      <c r="E27" s="1208"/>
      <c r="F27" s="1209"/>
      <c r="G27" s="1208"/>
      <c r="H27" s="1208"/>
      <c r="I27" s="1209"/>
      <c r="J27" s="1209"/>
      <c r="K27" s="1201"/>
      <c r="L27" s="1201"/>
      <c r="M27" s="1201"/>
      <c r="N27" s="1199"/>
      <c r="O27" s="1199"/>
      <c r="P27" s="1199"/>
    </row>
    <row r="28" spans="2:16" s="1197" customFormat="1" ht="15" customHeight="1">
      <c r="B28" s="847"/>
      <c r="C28" s="16" t="s">
        <v>798</v>
      </c>
      <c r="D28" s="16"/>
      <c r="E28" s="16"/>
      <c r="F28" s="16"/>
      <c r="G28" s="16"/>
      <c r="H28" s="16"/>
      <c r="I28" s="16"/>
      <c r="J28" s="16"/>
      <c r="K28" s="1210"/>
      <c r="L28" s="1210"/>
      <c r="M28" s="1210"/>
      <c r="N28" s="1199"/>
      <c r="O28" s="1199"/>
      <c r="P28" s="1199"/>
    </row>
    <row r="29" spans="2:16" s="1197" customFormat="1" ht="21.75" customHeight="1">
      <c r="B29" s="1199">
        <v>9</v>
      </c>
      <c r="C29" s="1105" t="s">
        <v>1238</v>
      </c>
      <c r="D29" s="1065" t="s">
        <v>23</v>
      </c>
      <c r="E29" s="1200" t="s">
        <v>283</v>
      </c>
      <c r="F29" s="1200" t="s">
        <v>283</v>
      </c>
      <c r="G29" s="1200" t="s">
        <v>283</v>
      </c>
      <c r="H29" s="1200" t="s">
        <v>283</v>
      </c>
      <c r="I29" s="1200" t="s">
        <v>283</v>
      </c>
      <c r="J29" s="1200" t="s">
        <v>283</v>
      </c>
      <c r="K29" s="1201">
        <v>42</v>
      </c>
      <c r="L29" s="1201">
        <v>42</v>
      </c>
      <c r="M29" s="1201">
        <v>38</v>
      </c>
      <c r="N29" s="1199"/>
      <c r="O29" s="1199"/>
      <c r="P29" s="1199"/>
    </row>
    <row r="30" spans="2:16" s="1197" customFormat="1" ht="21" customHeight="1">
      <c r="B30" s="1199">
        <v>10</v>
      </c>
      <c r="C30" s="1105" t="s">
        <v>1239</v>
      </c>
      <c r="D30" s="1065" t="s">
        <v>23</v>
      </c>
      <c r="E30" s="1200" t="s">
        <v>283</v>
      </c>
      <c r="F30" s="1200" t="s">
        <v>283</v>
      </c>
      <c r="G30" s="1200" t="s">
        <v>283</v>
      </c>
      <c r="H30" s="1200" t="s">
        <v>283</v>
      </c>
      <c r="I30" s="1200" t="s">
        <v>283</v>
      </c>
      <c r="J30" s="1200" t="s">
        <v>283</v>
      </c>
      <c r="K30" s="1201"/>
      <c r="L30" s="1201"/>
      <c r="M30" s="1201"/>
      <c r="N30" s="1199"/>
      <c r="O30" s="1199"/>
      <c r="P30" s="1199"/>
    </row>
    <row r="31" spans="2:16" s="1197" customFormat="1" ht="24" customHeight="1">
      <c r="B31" s="1199">
        <v>11</v>
      </c>
      <c r="C31" s="1105" t="s">
        <v>1240</v>
      </c>
      <c r="D31" s="1065" t="s">
        <v>270</v>
      </c>
      <c r="E31" s="1200" t="s">
        <v>283</v>
      </c>
      <c r="F31" s="1200" t="s">
        <v>283</v>
      </c>
      <c r="G31" s="1200" t="s">
        <v>283</v>
      </c>
      <c r="H31" s="1200" t="s">
        <v>283</v>
      </c>
      <c r="I31" s="1200" t="s">
        <v>283</v>
      </c>
      <c r="J31" s="1200" t="s">
        <v>283</v>
      </c>
      <c r="K31" s="1201">
        <v>1</v>
      </c>
      <c r="L31" s="1201">
        <v>1</v>
      </c>
      <c r="M31" s="1201">
        <v>1</v>
      </c>
      <c r="N31" s="1199"/>
      <c r="O31" s="1199"/>
      <c r="P31" s="1199"/>
    </row>
    <row r="32" spans="2:16" s="1197" customFormat="1" ht="24" customHeight="1">
      <c r="B32" s="1199">
        <v>12</v>
      </c>
      <c r="C32" s="1105" t="s">
        <v>1241</v>
      </c>
      <c r="D32" s="1065" t="s">
        <v>821</v>
      </c>
      <c r="E32" s="1200" t="s">
        <v>283</v>
      </c>
      <c r="F32" s="1200" t="s">
        <v>283</v>
      </c>
      <c r="G32" s="1200" t="s">
        <v>283</v>
      </c>
      <c r="H32" s="1200" t="s">
        <v>283</v>
      </c>
      <c r="I32" s="1200" t="s">
        <v>283</v>
      </c>
      <c r="J32" s="1200" t="s">
        <v>283</v>
      </c>
      <c r="K32" s="1201">
        <v>4</v>
      </c>
      <c r="L32" s="1201">
        <v>6</v>
      </c>
      <c r="M32" s="1201">
        <v>4</v>
      </c>
      <c r="N32" s="1199"/>
      <c r="O32" s="1199"/>
      <c r="P32" s="1199"/>
    </row>
    <row r="33" spans="2:16" s="1197" customFormat="1" ht="25.5" customHeight="1">
      <c r="B33" s="1199">
        <v>13</v>
      </c>
      <c r="C33" s="1105" t="s">
        <v>1242</v>
      </c>
      <c r="D33" s="1065" t="s">
        <v>1243</v>
      </c>
      <c r="E33" s="1200" t="s">
        <v>283</v>
      </c>
      <c r="F33" s="1200" t="s">
        <v>283</v>
      </c>
      <c r="G33" s="1200" t="s">
        <v>283</v>
      </c>
      <c r="H33" s="1200" t="s">
        <v>283</v>
      </c>
      <c r="I33" s="1200" t="s">
        <v>283</v>
      </c>
      <c r="J33" s="1200" t="s">
        <v>283</v>
      </c>
      <c r="K33" s="1201">
        <v>0.84</v>
      </c>
      <c r="L33" s="1201">
        <v>0.84</v>
      </c>
      <c r="M33" s="1201">
        <v>0.84</v>
      </c>
      <c r="N33" s="1199"/>
      <c r="O33" s="1199"/>
      <c r="P33" s="1199"/>
    </row>
    <row r="34" spans="2:16" s="1197" customFormat="1" ht="27" customHeight="1">
      <c r="B34" s="1199">
        <v>14</v>
      </c>
      <c r="C34" s="1105" t="s">
        <v>1244</v>
      </c>
      <c r="D34" s="1065" t="s">
        <v>1245</v>
      </c>
      <c r="E34" s="1200" t="s">
        <v>283</v>
      </c>
      <c r="F34" s="1200" t="s">
        <v>283</v>
      </c>
      <c r="G34" s="1200" t="s">
        <v>283</v>
      </c>
      <c r="H34" s="1200" t="s">
        <v>283</v>
      </c>
      <c r="I34" s="1200" t="s">
        <v>283</v>
      </c>
      <c r="J34" s="1200" t="s">
        <v>283</v>
      </c>
      <c r="K34" s="1201">
        <v>0.77</v>
      </c>
      <c r="L34" s="1201">
        <v>0.77</v>
      </c>
      <c r="M34" s="1201">
        <v>0.77</v>
      </c>
      <c r="N34" s="1199"/>
      <c r="O34" s="1199"/>
      <c r="P34" s="1199"/>
    </row>
    <row r="35" spans="2:16" s="1197" customFormat="1" ht="15.75">
      <c r="B35" s="1211"/>
      <c r="C35" s="1212"/>
      <c r="D35" s="1213"/>
      <c r="E35" s="1213"/>
      <c r="F35" s="1213"/>
      <c r="G35" s="1213"/>
      <c r="H35" s="1213"/>
      <c r="I35" s="1213"/>
      <c r="J35" s="1213"/>
      <c r="K35" s="1214"/>
      <c r="L35" s="1214"/>
      <c r="M35" s="1214"/>
      <c r="N35" s="1211"/>
      <c r="O35" s="1211"/>
      <c r="P35" s="1211"/>
    </row>
    <row r="36" spans="2:16" s="1197" customFormat="1" ht="15.75">
      <c r="B36" s="1211"/>
      <c r="C36" s="1212"/>
      <c r="D36" s="1213"/>
      <c r="E36" s="1213"/>
      <c r="F36" s="1213"/>
      <c r="G36" s="1213"/>
      <c r="H36" s="1213"/>
      <c r="I36" s="1213"/>
      <c r="J36" s="1213"/>
      <c r="K36" s="1214"/>
      <c r="L36" s="1214"/>
      <c r="M36" s="1214"/>
      <c r="N36" s="1211"/>
      <c r="O36" s="1211"/>
      <c r="P36" s="1211"/>
    </row>
    <row r="37" spans="2:13" ht="15.75">
      <c r="B37" s="1215" t="s">
        <v>350</v>
      </c>
      <c r="C37" s="1196"/>
      <c r="D37" s="1216"/>
      <c r="E37" s="1216"/>
      <c r="F37" s="1216"/>
      <c r="G37" s="1216"/>
      <c r="H37" s="1216"/>
      <c r="I37" s="1216"/>
      <c r="J37" s="1216"/>
      <c r="K37" s="1217"/>
      <c r="L37" s="1217"/>
      <c r="M37" s="1217"/>
    </row>
    <row r="38" spans="2:13" ht="15.75">
      <c r="B38" s="1215"/>
      <c r="C38" s="1196"/>
      <c r="D38" s="1216"/>
      <c r="E38" s="1216"/>
      <c r="F38" s="1216"/>
      <c r="G38" s="1216"/>
      <c r="H38" s="1216"/>
      <c r="I38" s="1216"/>
      <c r="J38" s="1216"/>
      <c r="K38" s="1217"/>
      <c r="L38" s="1217"/>
      <c r="M38" s="1217"/>
    </row>
    <row r="39" spans="2:13" ht="15.75">
      <c r="B39" s="1309"/>
      <c r="C39" s="1309"/>
      <c r="D39" s="1216"/>
      <c r="E39" s="1216"/>
      <c r="F39" s="1216"/>
      <c r="G39" s="1216"/>
      <c r="H39" s="1216"/>
      <c r="I39" s="1216"/>
      <c r="J39" s="1216"/>
      <c r="K39" s="1217"/>
      <c r="L39" s="1217"/>
      <c r="M39" s="1217"/>
    </row>
    <row r="40" spans="2:13" ht="15.75">
      <c r="B40" s="1218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  <c r="C40" s="1219"/>
      <c r="D40" s="1216"/>
      <c r="E40" s="1216"/>
      <c r="F40" s="1216"/>
      <c r="G40" s="1216"/>
      <c r="H40" s="1216"/>
      <c r="I40" s="1216"/>
      <c r="J40" s="1216"/>
      <c r="K40" s="1217"/>
      <c r="L40" s="1217"/>
      <c r="M40" s="1217"/>
    </row>
  </sheetData>
  <sheetProtection password="CF4E" sheet="1" objects="1" scenarios="1" formatColumns="0"/>
  <mergeCells count="17">
    <mergeCell ref="B39:C39"/>
    <mergeCell ref="I6:J6"/>
    <mergeCell ref="K6:L6"/>
    <mergeCell ref="M6:M7"/>
    <mergeCell ref="N6:N7"/>
    <mergeCell ref="O6:O7"/>
    <mergeCell ref="H6:H7"/>
    <mergeCell ref="P6:P7"/>
    <mergeCell ref="B2:P2"/>
    <mergeCell ref="B3:P3"/>
    <mergeCell ref="B4:P4"/>
    <mergeCell ref="B6:B7"/>
    <mergeCell ref="C6:C7"/>
    <mergeCell ref="D6:D7"/>
    <mergeCell ref="E6:E7"/>
    <mergeCell ref="F6:F7"/>
    <mergeCell ref="G6:G7"/>
  </mergeCells>
  <printOptions/>
  <pageMargins left="0.25" right="0.25" top="0.75" bottom="0.75" header="0.3" footer="0.3"/>
  <pageSetup fitToHeight="0" fitToWidth="1" orientation="landscape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2:F17"/>
  <sheetViews>
    <sheetView zoomScalePageLayoutView="0" workbookViewId="0" topLeftCell="A4">
      <selection activeCell="O11" sqref="O11"/>
    </sheetView>
  </sheetViews>
  <sheetFormatPr defaultColWidth="9.140625" defaultRowHeight="15"/>
  <cols>
    <col min="1" max="1" width="6.140625" style="641" customWidth="1"/>
    <col min="2" max="2" width="28.57421875" style="641" customWidth="1"/>
    <col min="3" max="3" width="10.421875" style="641" customWidth="1"/>
    <col min="4" max="4" width="39.140625" style="641" customWidth="1"/>
    <col min="5" max="5" width="41.57421875" style="1022" customWidth="1"/>
    <col min="6" max="6" width="40.421875" style="641" customWidth="1"/>
    <col min="7" max="16384" width="9.140625" style="641" customWidth="1"/>
  </cols>
  <sheetData>
    <row r="2" spans="1:6" ht="31.5" customHeight="1">
      <c r="A2" s="1014"/>
      <c r="B2" s="1631" t="s">
        <v>949</v>
      </c>
      <c r="C2" s="1631"/>
      <c r="D2" s="1631"/>
      <c r="E2" s="1631"/>
      <c r="F2" s="1631"/>
    </row>
    <row r="3" spans="1:6" ht="15.75" customHeight="1">
      <c r="A3" s="549" t="str">
        <f>Титульный!$B$10</f>
        <v>ООО "Дирекция Голицыно-3"</v>
      </c>
      <c r="B3" s="1015"/>
      <c r="C3" s="1015"/>
      <c r="D3" s="1015"/>
      <c r="E3" s="1016"/>
      <c r="F3" s="1015"/>
    </row>
    <row r="4" spans="1:6" ht="15.75" customHeight="1">
      <c r="A4" s="551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1015"/>
      <c r="C4" s="1015"/>
      <c r="D4" s="1015"/>
      <c r="E4" s="1016"/>
      <c r="F4" s="1015"/>
    </row>
    <row r="5" spans="1:6" ht="31.5" customHeight="1">
      <c r="A5" s="591"/>
      <c r="B5" s="1015"/>
      <c r="C5" s="1015"/>
      <c r="D5" s="1015"/>
      <c r="E5" s="1016"/>
      <c r="F5" s="1015"/>
    </row>
    <row r="6" spans="1:6" ht="35.25" customHeight="1">
      <c r="A6" s="1017" t="s">
        <v>709</v>
      </c>
      <c r="B6" s="1017" t="s">
        <v>555</v>
      </c>
      <c r="C6" s="1017" t="s">
        <v>710</v>
      </c>
      <c r="D6" s="1017" t="s">
        <v>955</v>
      </c>
      <c r="E6" s="1012" t="s">
        <v>961</v>
      </c>
      <c r="F6" s="1017" t="s">
        <v>965</v>
      </c>
    </row>
    <row r="7" spans="1:6" ht="15">
      <c r="A7" s="1018"/>
      <c r="B7" s="1019">
        <v>2</v>
      </c>
      <c r="C7" s="1017">
        <v>3</v>
      </c>
      <c r="D7" s="1017">
        <v>4</v>
      </c>
      <c r="E7" s="1011">
        <v>5</v>
      </c>
      <c r="F7" s="1017">
        <v>6</v>
      </c>
    </row>
    <row r="8" spans="1:6" ht="110.25" customHeight="1">
      <c r="A8" s="1020">
        <v>1</v>
      </c>
      <c r="B8" s="1021" t="s">
        <v>950</v>
      </c>
      <c r="C8" s="1010" t="s">
        <v>954</v>
      </c>
      <c r="D8" s="1013" t="s">
        <v>956</v>
      </c>
      <c r="E8" s="1013" t="s">
        <v>960</v>
      </c>
      <c r="F8" s="806" t="s">
        <v>1369</v>
      </c>
    </row>
    <row r="9" spans="1:6" ht="161.25" customHeight="1">
      <c r="A9" s="1020">
        <v>2</v>
      </c>
      <c r="B9" s="1021" t="s">
        <v>951</v>
      </c>
      <c r="C9" s="1010" t="s">
        <v>954</v>
      </c>
      <c r="D9" s="1013" t="s">
        <v>957</v>
      </c>
      <c r="E9" s="1013" t="s">
        <v>962</v>
      </c>
      <c r="F9" s="806" t="s">
        <v>1370</v>
      </c>
    </row>
    <row r="10" spans="1:6" ht="138" customHeight="1">
      <c r="A10" s="1020">
        <v>3</v>
      </c>
      <c r="B10" s="1021" t="s">
        <v>952</v>
      </c>
      <c r="C10" s="1010" t="s">
        <v>277</v>
      </c>
      <c r="D10" s="1013" t="s">
        <v>958</v>
      </c>
      <c r="E10" s="1013" t="s">
        <v>963</v>
      </c>
      <c r="F10" s="806" t="s">
        <v>1371</v>
      </c>
    </row>
    <row r="11" spans="1:6" ht="166.5" customHeight="1">
      <c r="A11" s="1020">
        <v>4</v>
      </c>
      <c r="B11" s="1021" t="s">
        <v>953</v>
      </c>
      <c r="C11" s="1010" t="s">
        <v>277</v>
      </c>
      <c r="D11" s="1013" t="s">
        <v>959</v>
      </c>
      <c r="E11" s="1013" t="s">
        <v>964</v>
      </c>
      <c r="F11" s="806" t="s">
        <v>1372</v>
      </c>
    </row>
    <row r="14" ht="15">
      <c r="A14" s="564" t="s">
        <v>350</v>
      </c>
    </row>
    <row r="15" ht="15">
      <c r="A15" s="565"/>
    </row>
    <row r="16" ht="15">
      <c r="A16" s="568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</row>
    <row r="17" ht="15">
      <c r="B17" s="1009" t="s">
        <v>874</v>
      </c>
    </row>
  </sheetData>
  <sheetProtection password="CF72" sheet="1"/>
  <mergeCells count="1">
    <mergeCell ref="B2:F2"/>
  </mergeCells>
  <printOptions/>
  <pageMargins left="0.25" right="0.25" top="0.75" bottom="0.75" header="0.3" footer="0.3"/>
  <pageSetup fitToHeight="1" fitToWidth="1" horizontalDpi="600" verticalDpi="600" orientation="landscape" paperSize="9" scale="6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2:E27"/>
  <sheetViews>
    <sheetView zoomScalePageLayoutView="0" workbookViewId="0" topLeftCell="A1">
      <selection activeCell="I14" sqref="I14"/>
    </sheetView>
  </sheetViews>
  <sheetFormatPr defaultColWidth="8.8515625" defaultRowHeight="15"/>
  <cols>
    <col min="1" max="1" width="8.8515625" style="85" customWidth="1"/>
    <col min="2" max="2" width="84.421875" style="83" customWidth="1"/>
    <col min="3" max="3" width="12.00390625" style="85" customWidth="1"/>
    <col min="4" max="4" width="15.57421875" style="85" customWidth="1"/>
    <col min="5" max="5" width="14.8515625" style="85" customWidth="1"/>
    <col min="6" max="16384" width="8.8515625" style="83" customWidth="1"/>
  </cols>
  <sheetData>
    <row r="2" spans="1:5" ht="14.25" customHeight="1">
      <c r="A2" s="1632" t="s">
        <v>1312</v>
      </c>
      <c r="B2" s="1633"/>
      <c r="C2" s="1633"/>
      <c r="D2" s="1633"/>
      <c r="E2" s="1633"/>
    </row>
    <row r="3" ht="15">
      <c r="A3" s="287" t="str">
        <f>Титульный!$B$10</f>
        <v>ООО "Дирекция Голицыно-3"</v>
      </c>
    </row>
    <row r="4" ht="15">
      <c r="A4" s="286" t="str">
        <f>IF(Титульный!B11=0,Титульный!B12,IF(Титульный!$B$12=0,Титульный!$B$11,CONCATENATE(Титульный!$B$11,", ",Титульный!$B$12)))</f>
        <v>Наро-Фоминский м.р.</v>
      </c>
    </row>
    <row r="5" ht="15">
      <c r="A5" s="118"/>
    </row>
    <row r="6" spans="1:5" s="86" customFormat="1" ht="30" customHeight="1">
      <c r="A6" s="1634" t="s">
        <v>238</v>
      </c>
      <c r="B6" s="1634" t="s">
        <v>555</v>
      </c>
      <c r="C6" s="1636" t="s">
        <v>221</v>
      </c>
      <c r="D6" s="1638" t="s">
        <v>1313</v>
      </c>
      <c r="E6" s="1639"/>
    </row>
    <row r="7" spans="1:5" s="86" customFormat="1" ht="31.5" customHeight="1">
      <c r="A7" s="1635"/>
      <c r="B7" s="1635"/>
      <c r="C7" s="1637"/>
      <c r="D7" s="686" t="s">
        <v>11</v>
      </c>
      <c r="E7" s="686" t="s">
        <v>12</v>
      </c>
    </row>
    <row r="8" spans="1:5" s="91" customFormat="1" ht="38.25" customHeight="1">
      <c r="A8" s="88">
        <v>1</v>
      </c>
      <c r="B8" s="89" t="s">
        <v>1314</v>
      </c>
      <c r="C8" s="90" t="s">
        <v>66</v>
      </c>
      <c r="D8" s="692">
        <f>'Расчет тарифов'!M152</f>
        <v>3340.4497127199998</v>
      </c>
      <c r="E8" s="692">
        <f>'Расчет тарифов'!O152</f>
        <v>3517.8763364</v>
      </c>
    </row>
    <row r="9" spans="1:5" s="95" customFormat="1" ht="19.5" customHeight="1">
      <c r="A9" s="92" t="s">
        <v>285</v>
      </c>
      <c r="B9" s="93" t="s">
        <v>316</v>
      </c>
      <c r="C9" s="94"/>
      <c r="E9" s="96"/>
    </row>
    <row r="10" spans="1:5" s="95" customFormat="1" ht="18" customHeight="1">
      <c r="A10" s="97" t="s">
        <v>45</v>
      </c>
      <c r="B10" s="98" t="s">
        <v>557</v>
      </c>
      <c r="C10" s="96" t="s">
        <v>66</v>
      </c>
      <c r="D10" s="805"/>
      <c r="E10" s="805"/>
    </row>
    <row r="11" spans="1:5" s="95" customFormat="1" ht="31.5" customHeight="1">
      <c r="A11" s="97" t="s">
        <v>47</v>
      </c>
      <c r="B11" s="98" t="s">
        <v>317</v>
      </c>
      <c r="C11" s="96" t="s">
        <v>66</v>
      </c>
      <c r="D11" s="805"/>
      <c r="E11" s="805"/>
    </row>
    <row r="12" spans="1:5" s="95" customFormat="1" ht="18" customHeight="1">
      <c r="A12" s="97" t="s">
        <v>53</v>
      </c>
      <c r="B12" s="98" t="s">
        <v>318</v>
      </c>
      <c r="C12" s="96" t="s">
        <v>66</v>
      </c>
      <c r="D12" s="805"/>
      <c r="E12" s="805"/>
    </row>
    <row r="13" spans="1:5" s="95" customFormat="1" ht="34.5" customHeight="1">
      <c r="A13" s="97" t="s">
        <v>64</v>
      </c>
      <c r="B13" s="98" t="s">
        <v>558</v>
      </c>
      <c r="C13" s="96" t="s">
        <v>66</v>
      </c>
      <c r="D13" s="805"/>
      <c r="E13" s="805"/>
    </row>
    <row r="14" spans="1:5" s="95" customFormat="1" ht="106.5" customHeight="1">
      <c r="A14" s="97" t="s">
        <v>69</v>
      </c>
      <c r="B14" s="98" t="s">
        <v>559</v>
      </c>
      <c r="C14" s="96" t="s">
        <v>66</v>
      </c>
      <c r="D14" s="805"/>
      <c r="E14" s="805"/>
    </row>
    <row r="15" spans="1:5" s="95" customFormat="1" ht="22.5" customHeight="1">
      <c r="A15" s="97" t="s">
        <v>77</v>
      </c>
      <c r="B15" s="98" t="s">
        <v>319</v>
      </c>
      <c r="C15" s="96" t="s">
        <v>66</v>
      </c>
      <c r="D15" s="805"/>
      <c r="E15" s="805"/>
    </row>
    <row r="16" spans="1:5" s="102" customFormat="1" ht="18" customHeight="1">
      <c r="A16" s="92" t="s">
        <v>152</v>
      </c>
      <c r="B16" s="93" t="s">
        <v>556</v>
      </c>
      <c r="C16" s="90" t="s">
        <v>66</v>
      </c>
      <c r="D16" s="691">
        <f>D8</f>
        <v>3340.4497127199998</v>
      </c>
      <c r="E16" s="99"/>
    </row>
    <row r="17" spans="1:2" ht="15">
      <c r="A17" s="100"/>
      <c r="B17" s="101"/>
    </row>
    <row r="18" spans="1:2" ht="15">
      <c r="A18" s="100"/>
      <c r="B18" s="101"/>
    </row>
    <row r="19" spans="1:2" ht="15">
      <c r="A19" s="564" t="s">
        <v>350</v>
      </c>
      <c r="B19" s="101"/>
    </row>
    <row r="20" spans="1:2" ht="15">
      <c r="A20" s="565"/>
      <c r="B20" s="101"/>
    </row>
    <row r="21" ht="15">
      <c r="B21" s="886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</row>
    <row r="22" spans="1:2" ht="15">
      <c r="A22" s="513"/>
      <c r="B22" s="1009" t="s">
        <v>875</v>
      </c>
    </row>
    <row r="23" spans="1:2" ht="15">
      <c r="A23" s="100"/>
      <c r="B23" s="101"/>
    </row>
    <row r="24" spans="1:2" ht="15">
      <c r="A24" s="100"/>
      <c r="B24" s="101"/>
    </row>
    <row r="25" spans="1:2" ht="15">
      <c r="A25" s="100"/>
      <c r="B25" s="101"/>
    </row>
    <row r="26" spans="1:2" ht="15">
      <c r="A26" s="100"/>
      <c r="B26" s="101"/>
    </row>
    <row r="27" spans="1:2" ht="15">
      <c r="A27" s="100"/>
      <c r="B27" s="101"/>
    </row>
  </sheetData>
  <sheetProtection password="CF72" sheet="1" objects="1" scenarios="1"/>
  <mergeCells count="5">
    <mergeCell ref="A2:E2"/>
    <mergeCell ref="A6:A7"/>
    <mergeCell ref="B6:B7"/>
    <mergeCell ref="C6:C7"/>
    <mergeCell ref="D6:E6"/>
  </mergeCells>
  <printOptions/>
  <pageMargins left="0.25" right="0.25" top="0.75" bottom="0.75" header="0.3" footer="0.3"/>
  <pageSetup fitToHeight="1" fitToWidth="1" orientation="landscape" paperSize="9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2:J1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6.140625" style="289" customWidth="1"/>
    <col min="2" max="2" width="62.57421875" style="289" customWidth="1"/>
    <col min="3" max="3" width="13.421875" style="289" customWidth="1"/>
    <col min="4" max="16384" width="9.140625" style="289" customWidth="1"/>
  </cols>
  <sheetData>
    <row r="2" spans="1:10" ht="31.5" customHeight="1">
      <c r="A2" s="290"/>
      <c r="B2" s="1641" t="s">
        <v>207</v>
      </c>
      <c r="C2" s="1641"/>
      <c r="D2" s="1641"/>
      <c r="E2" s="1641"/>
      <c r="F2" s="1641"/>
      <c r="G2" s="1641"/>
      <c r="H2" s="1641"/>
      <c r="I2" s="1641"/>
      <c r="J2" s="1641"/>
    </row>
    <row r="3" spans="1:10" ht="15.75" customHeight="1">
      <c r="A3" s="287" t="str">
        <f>Титульный!$B$10</f>
        <v>ООО "Дирекция Голицыно-3"</v>
      </c>
      <c r="B3" s="291"/>
      <c r="C3" s="291"/>
      <c r="D3" s="291"/>
      <c r="E3" s="291"/>
      <c r="F3" s="291"/>
      <c r="G3" s="291"/>
      <c r="H3" s="291"/>
      <c r="I3" s="291"/>
      <c r="J3" s="291"/>
    </row>
    <row r="4" spans="1:10" ht="15.75" customHeight="1">
      <c r="A4" s="286" t="str">
        <f>IF(Титульный!B11=0,Титульный!B12,IF(Титульный!$B$12=0,Титульный!$B$11,CONCATENATE(Титульный!$B$11,", ",Титульный!$B$12)))</f>
        <v>Наро-Фоминский м.р.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31.5" customHeight="1">
      <c r="A5" s="288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22.5" customHeight="1">
      <c r="A6" s="1640" t="s">
        <v>709</v>
      </c>
      <c r="B6" s="1640" t="s">
        <v>555</v>
      </c>
      <c r="C6" s="1640" t="s">
        <v>710</v>
      </c>
      <c r="D6" s="1640" t="s">
        <v>715</v>
      </c>
      <c r="E6" s="1640"/>
      <c r="F6" s="1640" t="s">
        <v>716</v>
      </c>
      <c r="G6" s="1640"/>
      <c r="H6" s="1640" t="s">
        <v>562</v>
      </c>
      <c r="I6" s="1640" t="s">
        <v>717</v>
      </c>
      <c r="J6" s="1640" t="s">
        <v>564</v>
      </c>
    </row>
    <row r="7" spans="1:10" ht="15">
      <c r="A7" s="1642"/>
      <c r="B7" s="1640"/>
      <c r="C7" s="1640"/>
      <c r="D7" s="87" t="s">
        <v>329</v>
      </c>
      <c r="E7" s="87" t="s">
        <v>6</v>
      </c>
      <c r="F7" s="87" t="s">
        <v>329</v>
      </c>
      <c r="G7" s="87" t="s">
        <v>711</v>
      </c>
      <c r="H7" s="1640"/>
      <c r="I7" s="1640"/>
      <c r="J7" s="1640"/>
    </row>
    <row r="8" spans="1:10" ht="15">
      <c r="A8" s="292"/>
      <c r="B8" s="87">
        <v>2</v>
      </c>
      <c r="C8" s="87">
        <v>3</v>
      </c>
      <c r="D8" s="87">
        <v>4</v>
      </c>
      <c r="E8" s="87">
        <v>5</v>
      </c>
      <c r="F8" s="87">
        <v>6</v>
      </c>
      <c r="G8" s="87">
        <v>7</v>
      </c>
      <c r="H8" s="87">
        <v>8</v>
      </c>
      <c r="I8" s="87">
        <v>9</v>
      </c>
      <c r="J8" s="87">
        <v>10</v>
      </c>
    </row>
    <row r="9" spans="1:10" ht="27" customHeight="1">
      <c r="A9" s="87">
        <v>1</v>
      </c>
      <c r="B9" s="98" t="s">
        <v>207</v>
      </c>
      <c r="C9" s="87" t="s">
        <v>712</v>
      </c>
      <c r="D9" s="806"/>
      <c r="E9" s="806"/>
      <c r="F9" s="806"/>
      <c r="G9" s="806"/>
      <c r="H9" s="806"/>
      <c r="I9" s="806"/>
      <c r="J9" s="806"/>
    </row>
    <row r="10" spans="1:10" ht="37.5" customHeight="1">
      <c r="A10" s="87">
        <v>2</v>
      </c>
      <c r="B10" s="293" t="s">
        <v>713</v>
      </c>
      <c r="C10" s="87" t="s">
        <v>23</v>
      </c>
      <c r="D10" s="806"/>
      <c r="E10" s="806"/>
      <c r="F10" s="806"/>
      <c r="G10" s="806"/>
      <c r="H10" s="806"/>
      <c r="I10" s="806"/>
      <c r="J10" s="806"/>
    </row>
    <row r="11" spans="1:10" ht="71.25" customHeight="1">
      <c r="A11" s="87">
        <v>3</v>
      </c>
      <c r="B11" s="293" t="s">
        <v>714</v>
      </c>
      <c r="C11" s="87" t="s">
        <v>66</v>
      </c>
      <c r="D11" s="806"/>
      <c r="E11" s="806"/>
      <c r="F11" s="806"/>
      <c r="G11" s="806"/>
      <c r="H11" s="806"/>
      <c r="I11" s="806"/>
      <c r="J11" s="806"/>
    </row>
    <row r="12" spans="1:10" ht="30" customHeight="1">
      <c r="A12" s="87">
        <v>4</v>
      </c>
      <c r="B12" s="293" t="s">
        <v>206</v>
      </c>
      <c r="C12" s="87" t="s">
        <v>712</v>
      </c>
      <c r="D12" s="806"/>
      <c r="E12" s="806"/>
      <c r="F12" s="806"/>
      <c r="G12" s="806"/>
      <c r="H12" s="806"/>
      <c r="I12" s="806"/>
      <c r="J12" s="806"/>
    </row>
    <row r="15" ht="15">
      <c r="A15" s="564" t="s">
        <v>350</v>
      </c>
    </row>
    <row r="16" ht="15">
      <c r="A16" s="565"/>
    </row>
    <row r="17" ht="15">
      <c r="A17" s="886" t="str">
        <f>Титульный!$B$58&amp;" /____________________/ ("&amp;MID(Титульный!$B$57,1,SEARCH(" ",Титульный!$B$57)-1)&amp;" "&amp;MID(Титульный!$B$57,SEARCH(" ",Титульный!$B$57)+1,1)&amp;"."&amp;MID(Титульный!$B$57,SEARCH(" ",Титульный!$B$57,SEARCH(" ",Титульный!$B$57)+1)+1,1)&amp;"."&amp;")"</f>
        <v> /____________________/ (Доценко Е.В.)</v>
      </c>
    </row>
    <row r="18" ht="15">
      <c r="B18" s="1009" t="s">
        <v>874</v>
      </c>
    </row>
  </sheetData>
  <sheetProtection password="CF72" sheet="1"/>
  <mergeCells count="9">
    <mergeCell ref="I6:I7"/>
    <mergeCell ref="J6:J7"/>
    <mergeCell ref="B2:J2"/>
    <mergeCell ref="A6:A7"/>
    <mergeCell ref="B6:B7"/>
    <mergeCell ref="C6:C7"/>
    <mergeCell ref="D6:E6"/>
    <mergeCell ref="F6:G6"/>
    <mergeCell ref="H6:H7"/>
  </mergeCells>
  <printOptions/>
  <pageMargins left="0.25" right="0.25" top="0.75" bottom="0.75" header="0.3" footer="0.3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4">
    <pageSetUpPr fitToPage="1"/>
  </sheetPr>
  <dimension ref="A1:IV33"/>
  <sheetViews>
    <sheetView zoomScalePageLayoutView="0" workbookViewId="0" topLeftCell="A13">
      <selection activeCell="AA22" sqref="AA22"/>
    </sheetView>
  </sheetViews>
  <sheetFormatPr defaultColWidth="0.85546875" defaultRowHeight="15"/>
  <cols>
    <col min="1" max="1" width="7.00390625" style="1224" customWidth="1"/>
    <col min="2" max="2" width="33.28125" style="1224" customWidth="1"/>
    <col min="3" max="3" width="22.57421875" style="1224" customWidth="1"/>
    <col min="4" max="4" width="13.28125" style="1224" customWidth="1"/>
    <col min="5" max="5" width="11.28125" style="1224" customWidth="1"/>
    <col min="6" max="13" width="10.140625" style="1224" customWidth="1"/>
    <col min="14" max="15" width="15.8515625" style="1224" customWidth="1"/>
    <col min="16" max="16" width="12.57421875" style="1224" customWidth="1"/>
    <col min="17" max="17" width="12.7109375" style="1224" customWidth="1"/>
    <col min="18" max="18" width="9.00390625" style="1224" customWidth="1"/>
    <col min="19" max="19" width="9.7109375" style="1224" customWidth="1"/>
    <col min="20" max="23" width="8.57421875" style="1224" customWidth="1"/>
    <col min="24" max="24" width="10.28125" style="1224" customWidth="1"/>
    <col min="25" max="25" width="10.140625" style="1224" customWidth="1"/>
    <col min="26" max="26" width="11.421875" style="1224" customWidth="1"/>
    <col min="27" max="27" width="11.28125" style="1224" customWidth="1"/>
    <col min="28" max="16384" width="0.85546875" style="1224" customWidth="1"/>
  </cols>
  <sheetData>
    <row r="1" spans="1:256" ht="15.75">
      <c r="A1" s="1223"/>
      <c r="B1" s="1223"/>
      <c r="C1" s="1223"/>
      <c r="D1" s="1223"/>
      <c r="E1" s="1223"/>
      <c r="F1" s="1223"/>
      <c r="G1" s="1223"/>
      <c r="H1" s="1223"/>
      <c r="I1" s="1223"/>
      <c r="J1" s="1223"/>
      <c r="K1" s="1223"/>
      <c r="L1" s="1223"/>
      <c r="M1" s="1223"/>
      <c r="N1" s="1223"/>
      <c r="O1" s="1223"/>
      <c r="P1" s="1223"/>
      <c r="Q1" s="1223"/>
      <c r="R1" s="1223"/>
      <c r="S1" s="1223"/>
      <c r="T1" s="1223"/>
      <c r="U1" s="1223"/>
      <c r="V1" s="1223"/>
      <c r="W1" s="1313" t="s">
        <v>0</v>
      </c>
      <c r="X1" s="1313"/>
      <c r="Y1" s="1313"/>
      <c r="Z1" s="1223"/>
      <c r="AA1" s="1223"/>
      <c r="AB1" s="1223"/>
      <c r="AC1" s="1223"/>
      <c r="AD1" s="1223"/>
      <c r="AE1" s="1223"/>
      <c r="AF1" s="1223"/>
      <c r="AG1" s="1223"/>
      <c r="AH1" s="1223"/>
      <c r="AI1" s="1223"/>
      <c r="AJ1" s="1223"/>
      <c r="AK1" s="1223"/>
      <c r="AL1" s="1223"/>
      <c r="AM1" s="1223"/>
      <c r="AN1" s="1223"/>
      <c r="AO1" s="1223"/>
      <c r="AP1" s="1223"/>
      <c r="AQ1" s="1223"/>
      <c r="AR1" s="1223"/>
      <c r="AS1" s="1223"/>
      <c r="AT1" s="1223"/>
      <c r="AU1" s="1223"/>
      <c r="AV1" s="1223"/>
      <c r="AW1" s="1223"/>
      <c r="AX1" s="1223"/>
      <c r="AY1" s="1223"/>
      <c r="AZ1" s="1223"/>
      <c r="BA1" s="1223"/>
      <c r="BB1" s="1223"/>
      <c r="BC1" s="1223"/>
      <c r="BD1" s="1223"/>
      <c r="BE1" s="1223"/>
      <c r="BF1" s="1223"/>
      <c r="BG1" s="1223"/>
      <c r="BH1" s="1223"/>
      <c r="BI1" s="1223"/>
      <c r="BJ1" s="1223"/>
      <c r="BK1" s="1223"/>
      <c r="BL1" s="1223"/>
      <c r="BM1" s="1223"/>
      <c r="BN1" s="1223"/>
      <c r="BO1" s="1223"/>
      <c r="BP1" s="1223"/>
      <c r="BQ1" s="1223"/>
      <c r="BR1" s="1223"/>
      <c r="BS1" s="1223"/>
      <c r="BT1" s="1223"/>
      <c r="BU1" s="1223"/>
      <c r="BV1" s="1223"/>
      <c r="BW1" s="1223"/>
      <c r="BX1" s="1223"/>
      <c r="BY1" s="1223"/>
      <c r="BZ1" s="1223"/>
      <c r="CA1" s="1223"/>
      <c r="CB1" s="1223"/>
      <c r="CC1" s="1223"/>
      <c r="CD1" s="1223"/>
      <c r="CE1" s="1223"/>
      <c r="CF1" s="1223"/>
      <c r="CG1" s="1223"/>
      <c r="CH1" s="1223"/>
      <c r="CI1" s="1223"/>
      <c r="CJ1" s="1223"/>
      <c r="CK1" s="1223"/>
      <c r="CL1" s="1223"/>
      <c r="CM1" s="1223"/>
      <c r="CN1" s="1223"/>
      <c r="CO1" s="1223"/>
      <c r="CP1" s="1223"/>
      <c r="CQ1" s="1223"/>
      <c r="CR1" s="1223"/>
      <c r="CS1" s="1223"/>
      <c r="CT1" s="1223"/>
      <c r="CU1" s="1223"/>
      <c r="CV1" s="1223"/>
      <c r="CW1" s="1223"/>
      <c r="CX1" s="1223"/>
      <c r="CY1" s="1223"/>
      <c r="CZ1" s="1223"/>
      <c r="DA1" s="1223"/>
      <c r="DB1" s="1223"/>
      <c r="DC1" s="1223"/>
      <c r="DD1" s="1223"/>
      <c r="DE1" s="1223"/>
      <c r="DF1" s="1223"/>
      <c r="DG1" s="1223"/>
      <c r="DH1" s="1223"/>
      <c r="DI1" s="1223"/>
      <c r="DJ1" s="1223"/>
      <c r="DK1" s="1223"/>
      <c r="DL1" s="1223"/>
      <c r="DM1" s="1223"/>
      <c r="DN1" s="1223"/>
      <c r="DO1" s="1223"/>
      <c r="DP1" s="1223"/>
      <c r="DQ1" s="1223"/>
      <c r="DR1" s="1223"/>
      <c r="DS1" s="1223"/>
      <c r="DT1" s="1223"/>
      <c r="DU1" s="1223"/>
      <c r="DV1" s="1223"/>
      <c r="DW1" s="1223"/>
      <c r="DX1" s="1223"/>
      <c r="DY1" s="1223"/>
      <c r="DZ1" s="1223"/>
      <c r="EA1" s="1223"/>
      <c r="EB1" s="1223"/>
      <c r="EC1" s="1223"/>
      <c r="ED1" s="1223"/>
      <c r="EE1" s="1223"/>
      <c r="EF1" s="1223"/>
      <c r="EG1" s="1223"/>
      <c r="EH1" s="1223"/>
      <c r="EI1" s="1223"/>
      <c r="EJ1" s="1223"/>
      <c r="EK1" s="1223"/>
      <c r="EL1" s="1223"/>
      <c r="EM1" s="1223"/>
      <c r="EN1" s="1223"/>
      <c r="EO1" s="1223"/>
      <c r="EP1" s="1223"/>
      <c r="EQ1" s="1223"/>
      <c r="ER1" s="1223"/>
      <c r="ES1" s="1223"/>
      <c r="ET1" s="1223"/>
      <c r="EU1" s="1223"/>
      <c r="EV1" s="1223"/>
      <c r="EW1" s="1223"/>
      <c r="EX1" s="1223"/>
      <c r="EY1" s="1223"/>
      <c r="EZ1" s="1223"/>
      <c r="FA1" s="1223"/>
      <c r="FB1" s="1223"/>
      <c r="FC1" s="1223"/>
      <c r="FD1" s="1223"/>
      <c r="FE1" s="1223"/>
      <c r="FF1" s="1223"/>
      <c r="FG1" s="1223"/>
      <c r="FH1" s="1223"/>
      <c r="FI1" s="1223"/>
      <c r="FJ1" s="1223"/>
      <c r="FK1" s="1223"/>
      <c r="FL1" s="1223"/>
      <c r="FM1" s="1223"/>
      <c r="FN1" s="1223"/>
      <c r="FO1" s="1223"/>
      <c r="FP1" s="1223"/>
      <c r="FQ1" s="1223"/>
      <c r="FR1" s="1223"/>
      <c r="FS1" s="1223"/>
      <c r="FT1" s="1223"/>
      <c r="FU1" s="1223"/>
      <c r="FV1" s="1223"/>
      <c r="FW1" s="1223"/>
      <c r="FX1" s="1223"/>
      <c r="FY1" s="1223"/>
      <c r="FZ1" s="1223"/>
      <c r="GA1" s="1223"/>
      <c r="GB1" s="1223"/>
      <c r="GC1" s="1223"/>
      <c r="GD1" s="1223"/>
      <c r="GE1" s="1223"/>
      <c r="GF1" s="1223"/>
      <c r="GG1" s="1223"/>
      <c r="GH1" s="1223"/>
      <c r="GI1" s="1223"/>
      <c r="GJ1" s="1223"/>
      <c r="GK1" s="1223"/>
      <c r="GL1" s="1223"/>
      <c r="GM1" s="1223"/>
      <c r="GN1" s="1223"/>
      <c r="GO1" s="1223"/>
      <c r="GP1" s="1223"/>
      <c r="GQ1" s="1223"/>
      <c r="GR1" s="1223"/>
      <c r="GS1" s="1223"/>
      <c r="GT1" s="1223"/>
      <c r="GU1" s="1223"/>
      <c r="GV1" s="1223"/>
      <c r="GW1" s="1223"/>
      <c r="GX1" s="1223"/>
      <c r="GY1" s="1223"/>
      <c r="GZ1" s="1223"/>
      <c r="HA1" s="1223"/>
      <c r="HB1" s="1223"/>
      <c r="HC1" s="1223"/>
      <c r="HD1" s="1223"/>
      <c r="HE1" s="1223"/>
      <c r="HF1" s="1223"/>
      <c r="HG1" s="1223"/>
      <c r="HH1" s="1223"/>
      <c r="HI1" s="1223"/>
      <c r="HJ1" s="1223"/>
      <c r="HK1" s="1223"/>
      <c r="HL1" s="1223"/>
      <c r="HM1" s="1223"/>
      <c r="HN1" s="1223"/>
      <c r="HO1" s="1223"/>
      <c r="HP1" s="1223"/>
      <c r="HQ1" s="1223"/>
      <c r="HR1" s="1223"/>
      <c r="HS1" s="1223"/>
      <c r="HT1" s="1223"/>
      <c r="HU1" s="1223"/>
      <c r="HV1" s="1223"/>
      <c r="HW1" s="1223"/>
      <c r="HX1" s="1223"/>
      <c r="HY1" s="1223"/>
      <c r="HZ1" s="1223"/>
      <c r="IA1" s="1223"/>
      <c r="IB1" s="1223"/>
      <c r="IC1" s="1223"/>
      <c r="ID1" s="1223"/>
      <c r="IE1" s="1223"/>
      <c r="IF1" s="1223"/>
      <c r="IG1" s="1223"/>
      <c r="IH1" s="1223"/>
      <c r="II1" s="1223"/>
      <c r="IJ1" s="1223"/>
      <c r="IK1" s="1223"/>
      <c r="IL1" s="1223"/>
      <c r="IM1" s="1223"/>
      <c r="IN1" s="1223"/>
      <c r="IO1" s="1223"/>
      <c r="IP1" s="1223"/>
      <c r="IQ1" s="1223"/>
      <c r="IR1" s="1223"/>
      <c r="IS1" s="1223"/>
      <c r="IT1" s="1223"/>
      <c r="IU1" s="1223"/>
      <c r="IV1" s="1223"/>
    </row>
    <row r="2" spans="1:256" ht="15.75">
      <c r="A2" s="1223"/>
      <c r="B2" s="1223"/>
      <c r="C2" s="1223"/>
      <c r="D2" s="1223"/>
      <c r="E2" s="1223"/>
      <c r="F2" s="1223"/>
      <c r="G2" s="1223"/>
      <c r="H2" s="1223"/>
      <c r="I2" s="1223"/>
      <c r="J2" s="1223"/>
      <c r="K2" s="1223"/>
      <c r="L2" s="1223"/>
      <c r="M2" s="1223"/>
      <c r="N2" s="1223"/>
      <c r="O2" s="1223"/>
      <c r="P2" s="1223"/>
      <c r="Q2" s="1223"/>
      <c r="R2" s="1223"/>
      <c r="S2" s="1223"/>
      <c r="T2" s="1223"/>
      <c r="U2" s="1223"/>
      <c r="V2" s="1223"/>
      <c r="W2" s="1314" t="s">
        <v>1246</v>
      </c>
      <c r="X2" s="1314"/>
      <c r="Y2" s="1314"/>
      <c r="Z2" s="1223"/>
      <c r="AA2" s="1223"/>
      <c r="AB2" s="1225"/>
      <c r="AC2" s="1225"/>
      <c r="AD2" s="1223"/>
      <c r="AE2" s="1223"/>
      <c r="AF2" s="1223"/>
      <c r="AG2" s="1223"/>
      <c r="AH2" s="1223"/>
      <c r="AI2" s="1223"/>
      <c r="AJ2" s="1223"/>
      <c r="AK2" s="1223"/>
      <c r="AL2" s="1223"/>
      <c r="AM2" s="1223"/>
      <c r="AN2" s="1223"/>
      <c r="AO2" s="1223"/>
      <c r="AP2" s="1223"/>
      <c r="AQ2" s="1223"/>
      <c r="AR2" s="1223"/>
      <c r="AS2" s="1223"/>
      <c r="AT2" s="1223"/>
      <c r="AU2" s="1223"/>
      <c r="AV2" s="1223"/>
      <c r="AW2" s="1223"/>
      <c r="AX2" s="1223"/>
      <c r="AY2" s="1223"/>
      <c r="AZ2" s="1223"/>
      <c r="BA2" s="1223"/>
      <c r="BB2" s="1223"/>
      <c r="BC2" s="1223"/>
      <c r="BD2" s="1223"/>
      <c r="BE2" s="1223"/>
      <c r="BF2" s="1223"/>
      <c r="BG2" s="1223"/>
      <c r="BH2" s="1223"/>
      <c r="BI2" s="1223"/>
      <c r="BJ2" s="1223"/>
      <c r="BK2" s="1223"/>
      <c r="BL2" s="1223"/>
      <c r="BM2" s="1223"/>
      <c r="BN2" s="1223"/>
      <c r="BO2" s="1223"/>
      <c r="BP2" s="1223"/>
      <c r="BQ2" s="1223"/>
      <c r="BR2" s="1223"/>
      <c r="BS2" s="1223"/>
      <c r="BT2" s="1223"/>
      <c r="BU2" s="1223"/>
      <c r="BV2" s="1223"/>
      <c r="BW2" s="1223"/>
      <c r="BX2" s="1223"/>
      <c r="BY2" s="1223"/>
      <c r="BZ2" s="1223"/>
      <c r="CA2" s="1223"/>
      <c r="CB2" s="1223"/>
      <c r="CC2" s="1223"/>
      <c r="CD2" s="1223"/>
      <c r="CE2" s="1223"/>
      <c r="CF2" s="1223"/>
      <c r="CG2" s="1223"/>
      <c r="CH2" s="1223"/>
      <c r="CI2" s="1223"/>
      <c r="CJ2" s="1223"/>
      <c r="CK2" s="1223"/>
      <c r="CL2" s="1223"/>
      <c r="CM2" s="1223"/>
      <c r="CN2" s="1223"/>
      <c r="CO2" s="1223"/>
      <c r="CP2" s="1223"/>
      <c r="CQ2" s="1223"/>
      <c r="CR2" s="1223"/>
      <c r="CS2" s="1223"/>
      <c r="CT2" s="1223"/>
      <c r="CU2" s="1223"/>
      <c r="CV2" s="1223"/>
      <c r="CW2" s="1223"/>
      <c r="CX2" s="1223"/>
      <c r="CY2" s="1223"/>
      <c r="CZ2" s="1223"/>
      <c r="DA2" s="1223"/>
      <c r="DB2" s="1223"/>
      <c r="DC2" s="1223"/>
      <c r="DD2" s="1223"/>
      <c r="DE2" s="1223"/>
      <c r="DF2" s="1223"/>
      <c r="DG2" s="1223"/>
      <c r="DH2" s="1223"/>
      <c r="DI2" s="1223"/>
      <c r="DJ2" s="1223"/>
      <c r="DK2" s="1223"/>
      <c r="DL2" s="1223"/>
      <c r="DM2" s="1223"/>
      <c r="DN2" s="1223"/>
      <c r="DO2" s="1223"/>
      <c r="DP2" s="1223"/>
      <c r="DQ2" s="1223"/>
      <c r="DR2" s="1223"/>
      <c r="DS2" s="1223"/>
      <c r="DT2" s="1223"/>
      <c r="DU2" s="1223"/>
      <c r="DV2" s="1223"/>
      <c r="DW2" s="1223"/>
      <c r="DX2" s="1223"/>
      <c r="DY2" s="1223"/>
      <c r="DZ2" s="1223"/>
      <c r="EA2" s="1223"/>
      <c r="EB2" s="1223"/>
      <c r="EC2" s="1223"/>
      <c r="ED2" s="1223"/>
      <c r="EE2" s="1223"/>
      <c r="EF2" s="1223"/>
      <c r="EG2" s="1223"/>
      <c r="EH2" s="1223"/>
      <c r="EI2" s="1223"/>
      <c r="EJ2" s="1223"/>
      <c r="EK2" s="1223"/>
      <c r="EL2" s="1223"/>
      <c r="EM2" s="1223"/>
      <c r="EN2" s="1223"/>
      <c r="EO2" s="1223"/>
      <c r="EP2" s="1223"/>
      <c r="EQ2" s="1223"/>
      <c r="ER2" s="1223"/>
      <c r="ES2" s="1223"/>
      <c r="ET2" s="1223"/>
      <c r="EU2" s="1223"/>
      <c r="EV2" s="1223"/>
      <c r="EW2" s="1223"/>
      <c r="EX2" s="1223"/>
      <c r="EY2" s="1223"/>
      <c r="EZ2" s="1223"/>
      <c r="FA2" s="1223"/>
      <c r="FB2" s="1223"/>
      <c r="FC2" s="1223"/>
      <c r="FD2" s="1223"/>
      <c r="FE2" s="1223"/>
      <c r="FF2" s="1223"/>
      <c r="FG2" s="1223"/>
      <c r="FH2" s="1223"/>
      <c r="FI2" s="1223"/>
      <c r="FJ2" s="1223"/>
      <c r="FK2" s="1223"/>
      <c r="FL2" s="1223"/>
      <c r="FM2" s="1223"/>
      <c r="FN2" s="1223"/>
      <c r="FO2" s="1223"/>
      <c r="FP2" s="1223"/>
      <c r="FQ2" s="1223"/>
      <c r="FR2" s="1223"/>
      <c r="FS2" s="1223"/>
      <c r="FT2" s="1223"/>
      <c r="FU2" s="1223"/>
      <c r="FV2" s="1223"/>
      <c r="FW2" s="1223"/>
      <c r="FX2" s="1223"/>
      <c r="FY2" s="1223"/>
      <c r="FZ2" s="1223"/>
      <c r="GA2" s="1223"/>
      <c r="GB2" s="1223"/>
      <c r="GC2" s="1223"/>
      <c r="GD2" s="1223"/>
      <c r="GE2" s="1223"/>
      <c r="GF2" s="1223"/>
      <c r="GG2" s="1223"/>
      <c r="GH2" s="1223"/>
      <c r="GI2" s="1223"/>
      <c r="GJ2" s="1223"/>
      <c r="GK2" s="1223"/>
      <c r="GL2" s="1223"/>
      <c r="GM2" s="1223"/>
      <c r="GN2" s="1223"/>
      <c r="GO2" s="1223"/>
      <c r="GP2" s="1223"/>
      <c r="GQ2" s="1223"/>
      <c r="GR2" s="1223"/>
      <c r="GS2" s="1223"/>
      <c r="GT2" s="1223"/>
      <c r="GU2" s="1223"/>
      <c r="GV2" s="1223"/>
      <c r="GW2" s="1223"/>
      <c r="GX2" s="1223"/>
      <c r="GY2" s="1223"/>
      <c r="GZ2" s="1223"/>
      <c r="HA2" s="1223"/>
      <c r="HB2" s="1223"/>
      <c r="HC2" s="1223"/>
      <c r="HD2" s="1223"/>
      <c r="HE2" s="1223"/>
      <c r="HF2" s="1223"/>
      <c r="HG2" s="1223"/>
      <c r="HH2" s="1223"/>
      <c r="HI2" s="1223"/>
      <c r="HJ2" s="1223"/>
      <c r="HK2" s="1223"/>
      <c r="HL2" s="1223"/>
      <c r="HM2" s="1223"/>
      <c r="HN2" s="1223"/>
      <c r="HO2" s="1223"/>
      <c r="HP2" s="1223"/>
      <c r="HQ2" s="1223"/>
      <c r="HR2" s="1223"/>
      <c r="HS2" s="1223"/>
      <c r="HT2" s="1223"/>
      <c r="HU2" s="1223"/>
      <c r="HV2" s="1223"/>
      <c r="HW2" s="1223"/>
      <c r="HX2" s="1223"/>
      <c r="HY2" s="1223"/>
      <c r="HZ2" s="1223"/>
      <c r="IA2" s="1223"/>
      <c r="IB2" s="1223"/>
      <c r="IC2" s="1223"/>
      <c r="ID2" s="1223"/>
      <c r="IE2" s="1223"/>
      <c r="IF2" s="1223"/>
      <c r="IG2" s="1223"/>
      <c r="IH2" s="1223"/>
      <c r="II2" s="1223"/>
      <c r="IJ2" s="1223"/>
      <c r="IK2" s="1223"/>
      <c r="IL2" s="1223"/>
      <c r="IM2" s="1223"/>
      <c r="IN2" s="1223"/>
      <c r="IO2" s="1223"/>
      <c r="IP2" s="1223"/>
      <c r="IQ2" s="1223"/>
      <c r="IR2" s="1223"/>
      <c r="IS2" s="1223"/>
      <c r="IT2" s="1223"/>
      <c r="IU2" s="1223"/>
      <c r="IV2" s="1223"/>
    </row>
    <row r="3" spans="1:256" ht="15.75">
      <c r="A3" s="1223"/>
      <c r="B3" s="1223"/>
      <c r="C3" s="1223"/>
      <c r="D3" s="1223"/>
      <c r="E3" s="1223"/>
      <c r="F3" s="1223"/>
      <c r="G3" s="1223"/>
      <c r="H3" s="1223"/>
      <c r="I3" s="1223"/>
      <c r="J3" s="1223"/>
      <c r="K3" s="1223"/>
      <c r="L3" s="1223"/>
      <c r="M3" s="1223"/>
      <c r="N3" s="1223"/>
      <c r="O3" s="1223"/>
      <c r="P3" s="1223"/>
      <c r="Q3" s="1223"/>
      <c r="R3" s="1223"/>
      <c r="S3" s="1223"/>
      <c r="T3" s="1223"/>
      <c r="U3" s="1223"/>
      <c r="V3" s="1223"/>
      <c r="W3" s="1315"/>
      <c r="X3" s="1315"/>
      <c r="Y3" s="1315"/>
      <c r="Z3" s="1223"/>
      <c r="AA3" s="1223"/>
      <c r="AB3" s="1226"/>
      <c r="AC3" s="1226"/>
      <c r="AD3" s="1223"/>
      <c r="AE3" s="1223"/>
      <c r="AF3" s="1223"/>
      <c r="AG3" s="1223"/>
      <c r="AH3" s="1223"/>
      <c r="AI3" s="1223"/>
      <c r="AJ3" s="1223"/>
      <c r="AK3" s="1223"/>
      <c r="AL3" s="1223"/>
      <c r="AM3" s="1223"/>
      <c r="AN3" s="1223"/>
      <c r="AO3" s="1223"/>
      <c r="AP3" s="1223"/>
      <c r="AQ3" s="1223"/>
      <c r="AR3" s="1223"/>
      <c r="AS3" s="1223"/>
      <c r="AT3" s="1223"/>
      <c r="AU3" s="1223"/>
      <c r="AV3" s="1223"/>
      <c r="AW3" s="1223"/>
      <c r="AX3" s="1223"/>
      <c r="AY3" s="1223"/>
      <c r="AZ3" s="1223"/>
      <c r="BA3" s="1223"/>
      <c r="BB3" s="1223"/>
      <c r="BC3" s="1223"/>
      <c r="BD3" s="1223"/>
      <c r="BE3" s="1223"/>
      <c r="BF3" s="1223"/>
      <c r="BG3" s="1223"/>
      <c r="BH3" s="1223"/>
      <c r="BI3" s="1223"/>
      <c r="BJ3" s="1223"/>
      <c r="BK3" s="1223"/>
      <c r="BL3" s="1223"/>
      <c r="BM3" s="1223"/>
      <c r="BN3" s="1223"/>
      <c r="BO3" s="1223"/>
      <c r="BP3" s="1223"/>
      <c r="BQ3" s="1223"/>
      <c r="BR3" s="1223"/>
      <c r="BS3" s="1223"/>
      <c r="BT3" s="1223"/>
      <c r="BU3" s="1223"/>
      <c r="BV3" s="1223"/>
      <c r="BW3" s="1223"/>
      <c r="BX3" s="1223"/>
      <c r="BY3" s="1223"/>
      <c r="BZ3" s="1223"/>
      <c r="CA3" s="1223"/>
      <c r="CB3" s="1223"/>
      <c r="CC3" s="1223"/>
      <c r="CD3" s="1223"/>
      <c r="CE3" s="1223"/>
      <c r="CF3" s="1223"/>
      <c r="CG3" s="1223"/>
      <c r="CH3" s="1223"/>
      <c r="CI3" s="1223"/>
      <c r="CJ3" s="1223"/>
      <c r="CK3" s="1223"/>
      <c r="CL3" s="1223"/>
      <c r="CM3" s="1223"/>
      <c r="CN3" s="1223"/>
      <c r="CO3" s="1223"/>
      <c r="CP3" s="1223"/>
      <c r="CQ3" s="1223"/>
      <c r="CR3" s="1223"/>
      <c r="CS3" s="1223"/>
      <c r="CT3" s="1223"/>
      <c r="CU3" s="1223"/>
      <c r="CV3" s="1223"/>
      <c r="CW3" s="1223"/>
      <c r="CX3" s="1223"/>
      <c r="CY3" s="1223"/>
      <c r="CZ3" s="1223"/>
      <c r="DA3" s="1223"/>
      <c r="DB3" s="1223"/>
      <c r="DC3" s="1223"/>
      <c r="DD3" s="1223"/>
      <c r="DE3" s="1223"/>
      <c r="DF3" s="1223"/>
      <c r="DG3" s="1223"/>
      <c r="DH3" s="1223"/>
      <c r="DI3" s="1223"/>
      <c r="DJ3" s="1223"/>
      <c r="DK3" s="1223"/>
      <c r="DL3" s="1223"/>
      <c r="DM3" s="1223"/>
      <c r="DN3" s="1223"/>
      <c r="DO3" s="1223"/>
      <c r="DP3" s="1223"/>
      <c r="DQ3" s="1223"/>
      <c r="DR3" s="1223"/>
      <c r="DS3" s="1223"/>
      <c r="DT3" s="1223"/>
      <c r="DU3" s="1223"/>
      <c r="DV3" s="1223"/>
      <c r="DW3" s="1223"/>
      <c r="DX3" s="1223"/>
      <c r="DY3" s="1223"/>
      <c r="DZ3" s="1223"/>
      <c r="EA3" s="1223"/>
      <c r="EB3" s="1223"/>
      <c r="EC3" s="1223"/>
      <c r="ED3" s="1223"/>
      <c r="EE3" s="1223"/>
      <c r="EF3" s="1223"/>
      <c r="EG3" s="1223"/>
      <c r="EH3" s="1223"/>
      <c r="EI3" s="1223"/>
      <c r="EJ3" s="1223"/>
      <c r="EK3" s="1223"/>
      <c r="EL3" s="1223"/>
      <c r="EM3" s="1223"/>
      <c r="EN3" s="1223"/>
      <c r="EO3" s="1223"/>
      <c r="EP3" s="1223"/>
      <c r="EQ3" s="1223"/>
      <c r="ER3" s="1223"/>
      <c r="ES3" s="1223"/>
      <c r="ET3" s="1223"/>
      <c r="EU3" s="1223"/>
      <c r="EV3" s="1223"/>
      <c r="EW3" s="1223"/>
      <c r="EX3" s="1223"/>
      <c r="EY3" s="1223"/>
      <c r="EZ3" s="1223"/>
      <c r="FA3" s="1223"/>
      <c r="FB3" s="1223"/>
      <c r="FC3" s="1223"/>
      <c r="FD3" s="1223"/>
      <c r="FE3" s="1223"/>
      <c r="FF3" s="1223"/>
      <c r="FG3" s="1223"/>
      <c r="FH3" s="1223"/>
      <c r="FI3" s="1223"/>
      <c r="FJ3" s="1223"/>
      <c r="FK3" s="1223"/>
      <c r="FL3" s="1223"/>
      <c r="FM3" s="1223"/>
      <c r="FN3" s="1223"/>
      <c r="FO3" s="1223"/>
      <c r="FP3" s="1223"/>
      <c r="FQ3" s="1223"/>
      <c r="FR3" s="1223"/>
      <c r="FS3" s="1223"/>
      <c r="FT3" s="1223"/>
      <c r="FU3" s="1223"/>
      <c r="FV3" s="1223"/>
      <c r="FW3" s="1223"/>
      <c r="FX3" s="1223"/>
      <c r="FY3" s="1223"/>
      <c r="FZ3" s="1223"/>
      <c r="GA3" s="1223"/>
      <c r="GB3" s="1223"/>
      <c r="GC3" s="1223"/>
      <c r="GD3" s="1223"/>
      <c r="GE3" s="1223"/>
      <c r="GF3" s="1223"/>
      <c r="GG3" s="1223"/>
      <c r="GH3" s="1223"/>
      <c r="GI3" s="1223"/>
      <c r="GJ3" s="1223"/>
      <c r="GK3" s="1223"/>
      <c r="GL3" s="1223"/>
      <c r="GM3" s="1223"/>
      <c r="GN3" s="1223"/>
      <c r="GO3" s="1223"/>
      <c r="GP3" s="1223"/>
      <c r="GQ3" s="1223"/>
      <c r="GR3" s="1223"/>
      <c r="GS3" s="1223"/>
      <c r="GT3" s="1223"/>
      <c r="GU3" s="1223"/>
      <c r="GV3" s="1223"/>
      <c r="GW3" s="1223"/>
      <c r="GX3" s="1223"/>
      <c r="GY3" s="1223"/>
      <c r="GZ3" s="1223"/>
      <c r="HA3" s="1223"/>
      <c r="HB3" s="1223"/>
      <c r="HC3" s="1223"/>
      <c r="HD3" s="1223"/>
      <c r="HE3" s="1223"/>
      <c r="HF3" s="1223"/>
      <c r="HG3" s="1223"/>
      <c r="HH3" s="1223"/>
      <c r="HI3" s="1223"/>
      <c r="HJ3" s="1223"/>
      <c r="HK3" s="1223"/>
      <c r="HL3" s="1223"/>
      <c r="HM3" s="1223"/>
      <c r="HN3" s="1223"/>
      <c r="HO3" s="1223"/>
      <c r="HP3" s="1223"/>
      <c r="HQ3" s="1223"/>
      <c r="HR3" s="1223"/>
      <c r="HS3" s="1223"/>
      <c r="HT3" s="1223"/>
      <c r="HU3" s="1223"/>
      <c r="HV3" s="1223"/>
      <c r="HW3" s="1223"/>
      <c r="HX3" s="1223"/>
      <c r="HY3" s="1223"/>
      <c r="HZ3" s="1223"/>
      <c r="IA3" s="1223"/>
      <c r="IB3" s="1223"/>
      <c r="IC3" s="1223"/>
      <c r="ID3" s="1223"/>
      <c r="IE3" s="1223"/>
      <c r="IF3" s="1223"/>
      <c r="IG3" s="1223"/>
      <c r="IH3" s="1223"/>
      <c r="II3" s="1223"/>
      <c r="IJ3" s="1223"/>
      <c r="IK3" s="1223"/>
      <c r="IL3" s="1223"/>
      <c r="IM3" s="1223"/>
      <c r="IN3" s="1223"/>
      <c r="IO3" s="1223"/>
      <c r="IP3" s="1223"/>
      <c r="IQ3" s="1223"/>
      <c r="IR3" s="1223"/>
      <c r="IS3" s="1223"/>
      <c r="IT3" s="1223"/>
      <c r="IU3" s="1223"/>
      <c r="IV3" s="1223"/>
    </row>
    <row r="4" spans="1:256" ht="15.75">
      <c r="A4" s="1223"/>
      <c r="B4" s="1223"/>
      <c r="C4" s="1223"/>
      <c r="D4" s="1223"/>
      <c r="E4" s="1223"/>
      <c r="F4" s="1223"/>
      <c r="G4" s="1223"/>
      <c r="H4" s="1223"/>
      <c r="I4" s="1223"/>
      <c r="J4" s="1223"/>
      <c r="K4" s="1223"/>
      <c r="L4" s="1223"/>
      <c r="M4" s="1223"/>
      <c r="N4" s="1223"/>
      <c r="O4" s="1223"/>
      <c r="P4" s="1223"/>
      <c r="Q4" s="1223"/>
      <c r="R4" s="1223"/>
      <c r="S4" s="1223"/>
      <c r="T4" s="1223"/>
      <c r="U4" s="1223"/>
      <c r="V4" s="1223"/>
      <c r="W4" s="1316" t="s">
        <v>1247</v>
      </c>
      <c r="X4" s="1316"/>
      <c r="Y4" s="1316"/>
      <c r="Z4" s="1223"/>
      <c r="AA4" s="1223"/>
      <c r="AB4" s="1223"/>
      <c r="AC4" s="1223"/>
      <c r="AD4" s="1223"/>
      <c r="AE4" s="1223"/>
      <c r="AF4" s="1223"/>
      <c r="AG4" s="1223"/>
      <c r="AH4" s="1223"/>
      <c r="AI4" s="1223"/>
      <c r="AJ4" s="1223"/>
      <c r="AK4" s="1223"/>
      <c r="AL4" s="1223"/>
      <c r="AM4" s="1223"/>
      <c r="AN4" s="1223"/>
      <c r="AO4" s="1223"/>
      <c r="AP4" s="1223"/>
      <c r="AQ4" s="1223"/>
      <c r="AR4" s="1223"/>
      <c r="AS4" s="1223"/>
      <c r="AT4" s="1223"/>
      <c r="AU4" s="1223"/>
      <c r="AV4" s="1223"/>
      <c r="AW4" s="1223"/>
      <c r="AX4" s="1223"/>
      <c r="AY4" s="1223"/>
      <c r="AZ4" s="1223"/>
      <c r="BA4" s="1223"/>
      <c r="BB4" s="1223"/>
      <c r="BC4" s="1223"/>
      <c r="BD4" s="1223"/>
      <c r="BE4" s="1223"/>
      <c r="BF4" s="1223"/>
      <c r="BG4" s="1223"/>
      <c r="BH4" s="1223"/>
      <c r="BI4" s="1223"/>
      <c r="BJ4" s="1223"/>
      <c r="BK4" s="1223"/>
      <c r="BL4" s="1223"/>
      <c r="BM4" s="1223"/>
      <c r="BN4" s="1223"/>
      <c r="BO4" s="1223"/>
      <c r="BP4" s="1223"/>
      <c r="BQ4" s="1223"/>
      <c r="BR4" s="1223"/>
      <c r="BS4" s="1223"/>
      <c r="BT4" s="1223"/>
      <c r="BU4" s="1223"/>
      <c r="BV4" s="1223"/>
      <c r="BW4" s="1223"/>
      <c r="BX4" s="1223"/>
      <c r="BY4" s="1223"/>
      <c r="BZ4" s="1223"/>
      <c r="CA4" s="1223"/>
      <c r="CB4" s="1223"/>
      <c r="CC4" s="1223"/>
      <c r="CD4" s="1223"/>
      <c r="CE4" s="1223"/>
      <c r="CF4" s="1223"/>
      <c r="CG4" s="1223"/>
      <c r="CH4" s="1223"/>
      <c r="CI4" s="1223"/>
      <c r="CJ4" s="1223"/>
      <c r="CK4" s="1223"/>
      <c r="CL4" s="1223"/>
      <c r="CM4" s="1223"/>
      <c r="CN4" s="1223"/>
      <c r="CO4" s="1223"/>
      <c r="CP4" s="1223"/>
      <c r="CQ4" s="1223"/>
      <c r="CR4" s="1223"/>
      <c r="CS4" s="1223"/>
      <c r="CT4" s="1223"/>
      <c r="CU4" s="1223"/>
      <c r="CV4" s="1223"/>
      <c r="CW4" s="1223"/>
      <c r="CX4" s="1223"/>
      <c r="CY4" s="1223"/>
      <c r="CZ4" s="1223"/>
      <c r="DA4" s="1223"/>
      <c r="DB4" s="1223"/>
      <c r="DC4" s="1223"/>
      <c r="DD4" s="1223"/>
      <c r="DE4" s="1223"/>
      <c r="DF4" s="1223"/>
      <c r="DG4" s="1223"/>
      <c r="DH4" s="1223"/>
      <c r="DI4" s="1223"/>
      <c r="DJ4" s="1223"/>
      <c r="DK4" s="1223"/>
      <c r="DL4" s="1223"/>
      <c r="DM4" s="1223"/>
      <c r="DN4" s="1223"/>
      <c r="DO4" s="1223"/>
      <c r="DP4" s="1223"/>
      <c r="DQ4" s="1223"/>
      <c r="DR4" s="1223"/>
      <c r="DS4" s="1223"/>
      <c r="DT4" s="1223"/>
      <c r="DU4" s="1223"/>
      <c r="DV4" s="1223"/>
      <c r="DW4" s="1223"/>
      <c r="DX4" s="1223"/>
      <c r="DY4" s="1223"/>
      <c r="DZ4" s="1223"/>
      <c r="EA4" s="1223"/>
      <c r="EB4" s="1223"/>
      <c r="EC4" s="1223"/>
      <c r="ED4" s="1223"/>
      <c r="EE4" s="1223"/>
      <c r="EF4" s="1223"/>
      <c r="EG4" s="1223"/>
      <c r="EH4" s="1223"/>
      <c r="EI4" s="1223"/>
      <c r="EJ4" s="1223"/>
      <c r="EK4" s="1223"/>
      <c r="EL4" s="1223"/>
      <c r="EM4" s="1223"/>
      <c r="EN4" s="1223"/>
      <c r="EO4" s="1223"/>
      <c r="EP4" s="1223"/>
      <c r="EQ4" s="1223"/>
      <c r="ER4" s="1223"/>
      <c r="ES4" s="1223"/>
      <c r="ET4" s="1223"/>
      <c r="EU4" s="1223"/>
      <c r="EV4" s="1223"/>
      <c r="EW4" s="1223"/>
      <c r="EX4" s="1223"/>
      <c r="EY4" s="1223"/>
      <c r="EZ4" s="1223"/>
      <c r="FA4" s="1223"/>
      <c r="FB4" s="1223"/>
      <c r="FC4" s="1223"/>
      <c r="FD4" s="1223"/>
      <c r="FE4" s="1223"/>
      <c r="FF4" s="1223"/>
      <c r="FG4" s="1223"/>
      <c r="FH4" s="1223"/>
      <c r="FI4" s="1223"/>
      <c r="FJ4" s="1223"/>
      <c r="FK4" s="1223"/>
      <c r="FL4" s="1223"/>
      <c r="FM4" s="1223"/>
      <c r="FN4" s="1223"/>
      <c r="FO4" s="1223"/>
      <c r="FP4" s="1223"/>
      <c r="FQ4" s="1223"/>
      <c r="FR4" s="1223"/>
      <c r="FS4" s="1223"/>
      <c r="FT4" s="1223"/>
      <c r="FU4" s="1223"/>
      <c r="FV4" s="1223"/>
      <c r="FW4" s="1223"/>
      <c r="FX4" s="1223"/>
      <c r="FY4" s="1223"/>
      <c r="FZ4" s="1223"/>
      <c r="GA4" s="1223"/>
      <c r="GB4" s="1223"/>
      <c r="GC4" s="1223"/>
      <c r="GD4" s="1223"/>
      <c r="GE4" s="1223"/>
      <c r="GF4" s="1223"/>
      <c r="GG4" s="1223"/>
      <c r="GH4" s="1223"/>
      <c r="GI4" s="1223"/>
      <c r="GJ4" s="1223"/>
      <c r="GK4" s="1223"/>
      <c r="GL4" s="1223"/>
      <c r="GM4" s="1223"/>
      <c r="GN4" s="1223"/>
      <c r="GO4" s="1223"/>
      <c r="GP4" s="1223"/>
      <c r="GQ4" s="1223"/>
      <c r="GR4" s="1223"/>
      <c r="GS4" s="1223"/>
      <c r="GT4" s="1223"/>
      <c r="GU4" s="1223"/>
      <c r="GV4" s="1223"/>
      <c r="GW4" s="1223"/>
      <c r="GX4" s="1223"/>
      <c r="GY4" s="1223"/>
      <c r="GZ4" s="1223"/>
      <c r="HA4" s="1223"/>
      <c r="HB4" s="1223"/>
      <c r="HC4" s="1223"/>
      <c r="HD4" s="1223"/>
      <c r="HE4" s="1223"/>
      <c r="HF4" s="1223"/>
      <c r="HG4" s="1223"/>
      <c r="HH4" s="1223"/>
      <c r="HI4" s="1223"/>
      <c r="HJ4" s="1223"/>
      <c r="HK4" s="1223"/>
      <c r="HL4" s="1223"/>
      <c r="HM4" s="1223"/>
      <c r="HN4" s="1223"/>
      <c r="HO4" s="1223"/>
      <c r="HP4" s="1223"/>
      <c r="HQ4" s="1223"/>
      <c r="HR4" s="1223"/>
      <c r="HS4" s="1223"/>
      <c r="HT4" s="1223"/>
      <c r="HU4" s="1223"/>
      <c r="HV4" s="1223"/>
      <c r="HW4" s="1223"/>
      <c r="HX4" s="1223"/>
      <c r="HY4" s="1223"/>
      <c r="HZ4" s="1223"/>
      <c r="IA4" s="1223"/>
      <c r="IB4" s="1223"/>
      <c r="IC4" s="1223"/>
      <c r="ID4" s="1223"/>
      <c r="IE4" s="1223"/>
      <c r="IF4" s="1223"/>
      <c r="IG4" s="1223"/>
      <c r="IH4" s="1223"/>
      <c r="II4" s="1223"/>
      <c r="IJ4" s="1223"/>
      <c r="IK4" s="1223"/>
      <c r="IL4" s="1223"/>
      <c r="IM4" s="1223"/>
      <c r="IN4" s="1223"/>
      <c r="IO4" s="1223"/>
      <c r="IP4" s="1223"/>
      <c r="IQ4" s="1223"/>
      <c r="IR4" s="1223"/>
      <c r="IS4" s="1223"/>
      <c r="IT4" s="1223"/>
      <c r="IU4" s="1223"/>
      <c r="IV4" s="1223"/>
    </row>
    <row r="5" spans="1:256" ht="15.75">
      <c r="A5" s="1223"/>
      <c r="B5" s="1223"/>
      <c r="C5" s="1223"/>
      <c r="D5" s="1223"/>
      <c r="E5" s="1223"/>
      <c r="F5" s="1223"/>
      <c r="G5" s="1223"/>
      <c r="H5" s="1223"/>
      <c r="I5" s="1223"/>
      <c r="J5" s="1223"/>
      <c r="K5" s="1223"/>
      <c r="L5" s="1223"/>
      <c r="M5" s="1223"/>
      <c r="N5" s="1223"/>
      <c r="O5" s="1223"/>
      <c r="P5" s="1223"/>
      <c r="Q5" s="1223"/>
      <c r="R5" s="1223"/>
      <c r="S5" s="1223"/>
      <c r="T5" s="1223"/>
      <c r="U5" s="1223"/>
      <c r="V5" s="1223"/>
      <c r="W5" s="1227" t="s">
        <v>2</v>
      </c>
      <c r="X5" s="1228"/>
      <c r="Y5" s="1223"/>
      <c r="Z5" s="1223"/>
      <c r="AA5" s="1223"/>
      <c r="AB5" s="1223"/>
      <c r="AC5" s="1223"/>
      <c r="AD5" s="1223"/>
      <c r="AE5" s="1223"/>
      <c r="AF5" s="1223"/>
      <c r="AG5" s="1223"/>
      <c r="AH5" s="1223"/>
      <c r="AI5" s="1223"/>
      <c r="AJ5" s="1223"/>
      <c r="AK5" s="1223"/>
      <c r="AL5" s="1223"/>
      <c r="AM5" s="1223"/>
      <c r="AN5" s="1223"/>
      <c r="AO5" s="1223"/>
      <c r="AP5" s="1223"/>
      <c r="AQ5" s="1223"/>
      <c r="AR5" s="1223"/>
      <c r="AS5" s="1223"/>
      <c r="AT5" s="1223"/>
      <c r="AU5" s="1223"/>
      <c r="AV5" s="1223"/>
      <c r="AW5" s="1223"/>
      <c r="AX5" s="1223"/>
      <c r="AY5" s="1223"/>
      <c r="AZ5" s="1223"/>
      <c r="BA5" s="1223"/>
      <c r="BB5" s="1223"/>
      <c r="BC5" s="1223"/>
      <c r="BD5" s="1223"/>
      <c r="BE5" s="1223"/>
      <c r="BF5" s="1223"/>
      <c r="BG5" s="1223"/>
      <c r="BH5" s="1223"/>
      <c r="BI5" s="1223"/>
      <c r="BJ5" s="1223"/>
      <c r="BK5" s="1223"/>
      <c r="BL5" s="1223"/>
      <c r="BM5" s="1223"/>
      <c r="BN5" s="1223"/>
      <c r="BO5" s="1223"/>
      <c r="BP5" s="1223"/>
      <c r="BQ5" s="1223"/>
      <c r="BR5" s="1223"/>
      <c r="BS5" s="1223"/>
      <c r="BT5" s="1223"/>
      <c r="BU5" s="1223"/>
      <c r="BV5" s="1223"/>
      <c r="BW5" s="1223"/>
      <c r="BX5" s="1223"/>
      <c r="BY5" s="1223"/>
      <c r="BZ5" s="1223"/>
      <c r="CA5" s="1223"/>
      <c r="CB5" s="1223"/>
      <c r="CC5" s="1223"/>
      <c r="CD5" s="1223"/>
      <c r="CE5" s="1223"/>
      <c r="CF5" s="1223"/>
      <c r="CG5" s="1223"/>
      <c r="CH5" s="1223"/>
      <c r="CI5" s="1223"/>
      <c r="CJ5" s="1223"/>
      <c r="CK5" s="1223"/>
      <c r="CL5" s="1223"/>
      <c r="CM5" s="1223"/>
      <c r="CN5" s="1223"/>
      <c r="CO5" s="1223"/>
      <c r="CP5" s="1223"/>
      <c r="CQ5" s="1223"/>
      <c r="CR5" s="1223"/>
      <c r="CS5" s="1223"/>
      <c r="CT5" s="1223"/>
      <c r="CU5" s="1223"/>
      <c r="CV5" s="1223"/>
      <c r="CW5" s="1223"/>
      <c r="CX5" s="1223"/>
      <c r="CY5" s="1223"/>
      <c r="CZ5" s="1223"/>
      <c r="DA5" s="1223"/>
      <c r="DB5" s="1223"/>
      <c r="DC5" s="1223"/>
      <c r="DD5" s="1223"/>
      <c r="DE5" s="1223"/>
      <c r="DF5" s="1223"/>
      <c r="DG5" s="1223"/>
      <c r="DH5" s="1223"/>
      <c r="DI5" s="1223"/>
      <c r="DJ5" s="1223"/>
      <c r="DK5" s="1223"/>
      <c r="DL5" s="1223"/>
      <c r="DM5" s="1223"/>
      <c r="DN5" s="1223"/>
      <c r="DO5" s="1223"/>
      <c r="DP5" s="1223"/>
      <c r="DQ5" s="1223"/>
      <c r="DR5" s="1223"/>
      <c r="DS5" s="1223"/>
      <c r="DT5" s="1223"/>
      <c r="DU5" s="1223"/>
      <c r="DV5" s="1223"/>
      <c r="DW5" s="1223"/>
      <c r="DX5" s="1223"/>
      <c r="DY5" s="1223"/>
      <c r="DZ5" s="1223"/>
      <c r="EA5" s="1223"/>
      <c r="EB5" s="1223"/>
      <c r="EC5" s="1223"/>
      <c r="ED5" s="1223"/>
      <c r="EE5" s="1223"/>
      <c r="EF5" s="1223"/>
      <c r="EG5" s="1223"/>
      <c r="EH5" s="1223"/>
      <c r="EI5" s="1223"/>
      <c r="EJ5" s="1223"/>
      <c r="EK5" s="1223"/>
      <c r="EL5" s="1223"/>
      <c r="EM5" s="1223"/>
      <c r="EN5" s="1223"/>
      <c r="EO5" s="1223"/>
      <c r="EP5" s="1223"/>
      <c r="EQ5" s="1223"/>
      <c r="ER5" s="1223"/>
      <c r="ES5" s="1223"/>
      <c r="ET5" s="1223"/>
      <c r="EU5" s="1223"/>
      <c r="EV5" s="1223"/>
      <c r="EW5" s="1223"/>
      <c r="EX5" s="1223"/>
      <c r="EY5" s="1223"/>
      <c r="EZ5" s="1223"/>
      <c r="FA5" s="1223"/>
      <c r="FB5" s="1223"/>
      <c r="FC5" s="1223"/>
      <c r="FD5" s="1223"/>
      <c r="FE5" s="1223"/>
      <c r="FF5" s="1223"/>
      <c r="FG5" s="1223"/>
      <c r="FH5" s="1223"/>
      <c r="FI5" s="1223"/>
      <c r="FJ5" s="1223"/>
      <c r="FK5" s="1223"/>
      <c r="FL5" s="1223"/>
      <c r="FM5" s="1223"/>
      <c r="FN5" s="1223"/>
      <c r="FO5" s="1223"/>
      <c r="FP5" s="1223"/>
      <c r="FQ5" s="1223"/>
      <c r="FR5" s="1223"/>
      <c r="FS5" s="1223"/>
      <c r="FT5" s="1223"/>
      <c r="FU5" s="1223"/>
      <c r="FV5" s="1223"/>
      <c r="FW5" s="1223"/>
      <c r="FX5" s="1223"/>
      <c r="FY5" s="1223"/>
      <c r="FZ5" s="1223"/>
      <c r="GA5" s="1223"/>
      <c r="GB5" s="1223"/>
      <c r="GC5" s="1223"/>
      <c r="GD5" s="1223"/>
      <c r="GE5" s="1223"/>
      <c r="GF5" s="1223"/>
      <c r="GG5" s="1223"/>
      <c r="GH5" s="1223"/>
      <c r="GI5" s="1223"/>
      <c r="GJ5" s="1223"/>
      <c r="GK5" s="1223"/>
      <c r="GL5" s="1223"/>
      <c r="GM5" s="1223"/>
      <c r="GN5" s="1223"/>
      <c r="GO5" s="1223"/>
      <c r="GP5" s="1223"/>
      <c r="GQ5" s="1223"/>
      <c r="GR5" s="1223"/>
      <c r="GS5" s="1223"/>
      <c r="GT5" s="1223"/>
      <c r="GU5" s="1223"/>
      <c r="GV5" s="1223"/>
      <c r="GW5" s="1223"/>
      <c r="GX5" s="1223"/>
      <c r="GY5" s="1223"/>
      <c r="GZ5" s="1223"/>
      <c r="HA5" s="1223"/>
      <c r="HB5" s="1223"/>
      <c r="HC5" s="1223"/>
      <c r="HD5" s="1223"/>
      <c r="HE5" s="1223"/>
      <c r="HF5" s="1223"/>
      <c r="HG5" s="1223"/>
      <c r="HH5" s="1223"/>
      <c r="HI5" s="1223"/>
      <c r="HJ5" s="1223"/>
      <c r="HK5" s="1223"/>
      <c r="HL5" s="1223"/>
      <c r="HM5" s="1223"/>
      <c r="HN5" s="1223"/>
      <c r="HO5" s="1223"/>
      <c r="HP5" s="1223"/>
      <c r="HQ5" s="1223"/>
      <c r="HR5" s="1223"/>
      <c r="HS5" s="1223"/>
      <c r="HT5" s="1223"/>
      <c r="HU5" s="1223"/>
      <c r="HV5" s="1223"/>
      <c r="HW5" s="1223"/>
      <c r="HX5" s="1223"/>
      <c r="HY5" s="1223"/>
      <c r="HZ5" s="1223"/>
      <c r="IA5" s="1223"/>
      <c r="IB5" s="1223"/>
      <c r="IC5" s="1223"/>
      <c r="ID5" s="1223"/>
      <c r="IE5" s="1223"/>
      <c r="IF5" s="1223"/>
      <c r="IG5" s="1223"/>
      <c r="IH5" s="1223"/>
      <c r="II5" s="1223"/>
      <c r="IJ5" s="1223"/>
      <c r="IK5" s="1223"/>
      <c r="IL5" s="1223"/>
      <c r="IM5" s="1223"/>
      <c r="IN5" s="1223"/>
      <c r="IO5" s="1223"/>
      <c r="IP5" s="1223"/>
      <c r="IQ5" s="1223"/>
      <c r="IR5" s="1223"/>
      <c r="IS5" s="1223"/>
      <c r="IT5" s="1223"/>
      <c r="IU5" s="1223"/>
      <c r="IV5" s="1223"/>
    </row>
    <row r="6" spans="1:256" ht="15.75">
      <c r="A6" s="1223"/>
      <c r="B6" s="1223"/>
      <c r="C6" s="1223"/>
      <c r="D6" s="1223"/>
      <c r="E6" s="1223"/>
      <c r="F6" s="1223"/>
      <c r="G6" s="1223"/>
      <c r="H6" s="1223"/>
      <c r="I6" s="1223"/>
      <c r="J6" s="1223"/>
      <c r="K6" s="1223"/>
      <c r="L6" s="1223"/>
      <c r="M6" s="1223"/>
      <c r="N6" s="1223"/>
      <c r="O6" s="1223"/>
      <c r="P6" s="1223"/>
      <c r="Q6" s="1223"/>
      <c r="R6" s="1223"/>
      <c r="S6" s="1223"/>
      <c r="T6" s="1223"/>
      <c r="U6" s="1223"/>
      <c r="V6" s="1223"/>
      <c r="W6" s="1223"/>
      <c r="X6" s="1223"/>
      <c r="Y6" s="1223"/>
      <c r="Z6" s="1229"/>
      <c r="AA6" s="1225"/>
      <c r="AB6" s="1223"/>
      <c r="AC6" s="1223"/>
      <c r="AD6" s="1223"/>
      <c r="AE6" s="1223"/>
      <c r="AF6" s="1223"/>
      <c r="AG6" s="1223"/>
      <c r="AH6" s="1223"/>
      <c r="AI6" s="1223"/>
      <c r="AJ6" s="1223"/>
      <c r="AK6" s="1223"/>
      <c r="AL6" s="1223"/>
      <c r="AM6" s="1223"/>
      <c r="AN6" s="1223"/>
      <c r="AO6" s="1223"/>
      <c r="AP6" s="1223"/>
      <c r="AQ6" s="1223"/>
      <c r="AR6" s="1223"/>
      <c r="AS6" s="1223"/>
      <c r="AT6" s="1223"/>
      <c r="AU6" s="1223"/>
      <c r="AV6" s="1223"/>
      <c r="AW6" s="1223"/>
      <c r="AX6" s="1223"/>
      <c r="AY6" s="1223"/>
      <c r="AZ6" s="1223"/>
      <c r="BA6" s="1223"/>
      <c r="BB6" s="1223"/>
      <c r="BC6" s="1223"/>
      <c r="BD6" s="1223"/>
      <c r="BE6" s="1223"/>
      <c r="BF6" s="1223"/>
      <c r="BG6" s="1223"/>
      <c r="BH6" s="1223"/>
      <c r="BI6" s="1223"/>
      <c r="BJ6" s="1223"/>
      <c r="BK6" s="1223"/>
      <c r="BL6" s="1223"/>
      <c r="BM6" s="1223"/>
      <c r="BN6" s="1223"/>
      <c r="BO6" s="1223"/>
      <c r="BP6" s="1223"/>
      <c r="BQ6" s="1223"/>
      <c r="BR6" s="1223"/>
      <c r="BS6" s="1223"/>
      <c r="BT6" s="1223"/>
      <c r="BU6" s="1223"/>
      <c r="BV6" s="1223"/>
      <c r="BW6" s="1223"/>
      <c r="BX6" s="1223"/>
      <c r="BY6" s="1223"/>
      <c r="BZ6" s="1223"/>
      <c r="CA6" s="1223"/>
      <c r="CB6" s="1223"/>
      <c r="CC6" s="1223"/>
      <c r="CD6" s="1223"/>
      <c r="CE6" s="1223"/>
      <c r="CF6" s="1223"/>
      <c r="CG6" s="1223"/>
      <c r="CH6" s="1223"/>
      <c r="CI6" s="1223"/>
      <c r="CJ6" s="1223"/>
      <c r="CK6" s="1223"/>
      <c r="CL6" s="1223"/>
      <c r="CM6" s="1223"/>
      <c r="CN6" s="1223"/>
      <c r="CO6" s="1223"/>
      <c r="CP6" s="1223"/>
      <c r="CQ6" s="1223"/>
      <c r="CR6" s="1223"/>
      <c r="CS6" s="1223"/>
      <c r="CT6" s="1223"/>
      <c r="CU6" s="1223"/>
      <c r="CV6" s="1223"/>
      <c r="CW6" s="1223"/>
      <c r="CX6" s="1223"/>
      <c r="CY6" s="1223"/>
      <c r="CZ6" s="1223"/>
      <c r="DA6" s="1223"/>
      <c r="DB6" s="1223"/>
      <c r="DC6" s="1223"/>
      <c r="DD6" s="1223"/>
      <c r="DE6" s="1223"/>
      <c r="DF6" s="1223"/>
      <c r="DG6" s="1223"/>
      <c r="DH6" s="1223"/>
      <c r="DI6" s="1223"/>
      <c r="DJ6" s="1223"/>
      <c r="DK6" s="1223"/>
      <c r="DL6" s="1223"/>
      <c r="DM6" s="1223"/>
      <c r="DN6" s="1223"/>
      <c r="DO6" s="1223"/>
      <c r="DP6" s="1223"/>
      <c r="DQ6" s="1223"/>
      <c r="DR6" s="1223"/>
      <c r="DS6" s="1223"/>
      <c r="DT6" s="1223"/>
      <c r="DU6" s="1223"/>
      <c r="DV6" s="1223"/>
      <c r="DW6" s="1223"/>
      <c r="DX6" s="1223"/>
      <c r="DY6" s="1223"/>
      <c r="DZ6" s="1223"/>
      <c r="EA6" s="1223"/>
      <c r="EB6" s="1223"/>
      <c r="EC6" s="1223"/>
      <c r="ED6" s="1223"/>
      <c r="EE6" s="1223"/>
      <c r="EF6" s="1223"/>
      <c r="EG6" s="1223"/>
      <c r="EH6" s="1223"/>
      <c r="EI6" s="1223"/>
      <c r="EJ6" s="1223"/>
      <c r="EK6" s="1223"/>
      <c r="EL6" s="1223"/>
      <c r="EM6" s="1223"/>
      <c r="EN6" s="1223"/>
      <c r="EO6" s="1223"/>
      <c r="EP6" s="1223"/>
      <c r="EQ6" s="1223"/>
      <c r="ER6" s="1223"/>
      <c r="ES6" s="1223"/>
      <c r="ET6" s="1223"/>
      <c r="EU6" s="1223"/>
      <c r="EV6" s="1223"/>
      <c r="EW6" s="1223"/>
      <c r="EX6" s="1223"/>
      <c r="EY6" s="1223"/>
      <c r="EZ6" s="1223"/>
      <c r="FA6" s="1223"/>
      <c r="FB6" s="1223"/>
      <c r="FC6" s="1223"/>
      <c r="FD6" s="1223"/>
      <c r="FE6" s="1223"/>
      <c r="FF6" s="1223"/>
      <c r="FG6" s="1223"/>
      <c r="FH6" s="1223"/>
      <c r="FI6" s="1223"/>
      <c r="FJ6" s="1223"/>
      <c r="FK6" s="1223"/>
      <c r="FL6" s="1223"/>
      <c r="FM6" s="1223"/>
      <c r="FN6" s="1223"/>
      <c r="FO6" s="1223"/>
      <c r="FP6" s="1223"/>
      <c r="FQ6" s="1223"/>
      <c r="FR6" s="1223"/>
      <c r="FS6" s="1223"/>
      <c r="FT6" s="1223"/>
      <c r="FU6" s="1223"/>
      <c r="FV6" s="1223"/>
      <c r="FW6" s="1223"/>
      <c r="FX6" s="1223"/>
      <c r="FY6" s="1223"/>
      <c r="FZ6" s="1223"/>
      <c r="GA6" s="1223"/>
      <c r="GB6" s="1223"/>
      <c r="GC6" s="1223"/>
      <c r="GD6" s="1223"/>
      <c r="GE6" s="1223"/>
      <c r="GF6" s="1223"/>
      <c r="GG6" s="1223"/>
      <c r="GH6" s="1223"/>
      <c r="GI6" s="1223"/>
      <c r="GJ6" s="1223"/>
      <c r="GK6" s="1223"/>
      <c r="GL6" s="1223"/>
      <c r="GM6" s="1223"/>
      <c r="GN6" s="1223"/>
      <c r="GO6" s="1223"/>
      <c r="GP6" s="1223"/>
      <c r="GQ6" s="1223"/>
      <c r="GR6" s="1223"/>
      <c r="GS6" s="1223"/>
      <c r="GT6" s="1223"/>
      <c r="GU6" s="1223"/>
      <c r="GV6" s="1223"/>
      <c r="GW6" s="1223"/>
      <c r="GX6" s="1223"/>
      <c r="GY6" s="1223"/>
      <c r="GZ6" s="1223"/>
      <c r="HA6" s="1223"/>
      <c r="HB6" s="1223"/>
      <c r="HC6" s="1223"/>
      <c r="HD6" s="1223"/>
      <c r="HE6" s="1223"/>
      <c r="HF6" s="1223"/>
      <c r="HG6" s="1223"/>
      <c r="HH6" s="1223"/>
      <c r="HI6" s="1223"/>
      <c r="HJ6" s="1223"/>
      <c r="HK6" s="1223"/>
      <c r="HL6" s="1223"/>
      <c r="HM6" s="1223"/>
      <c r="HN6" s="1223"/>
      <c r="HO6" s="1223"/>
      <c r="HP6" s="1223"/>
      <c r="HQ6" s="1223"/>
      <c r="HR6" s="1223"/>
      <c r="HS6" s="1223"/>
      <c r="HT6" s="1223"/>
      <c r="HU6" s="1223"/>
      <c r="HV6" s="1223"/>
      <c r="HW6" s="1223"/>
      <c r="HX6" s="1223"/>
      <c r="HY6" s="1223"/>
      <c r="HZ6" s="1223"/>
      <c r="IA6" s="1223"/>
      <c r="IB6" s="1223"/>
      <c r="IC6" s="1223"/>
      <c r="ID6" s="1223"/>
      <c r="IE6" s="1223"/>
      <c r="IF6" s="1223"/>
      <c r="IG6" s="1223"/>
      <c r="IH6" s="1223"/>
      <c r="II6" s="1223"/>
      <c r="IJ6" s="1223"/>
      <c r="IK6" s="1223"/>
      <c r="IL6" s="1223"/>
      <c r="IM6" s="1223"/>
      <c r="IN6" s="1223"/>
      <c r="IO6" s="1223"/>
      <c r="IP6" s="1223"/>
      <c r="IQ6" s="1223"/>
      <c r="IR6" s="1223"/>
      <c r="IS6" s="1223"/>
      <c r="IT6" s="1223"/>
      <c r="IU6" s="1223"/>
      <c r="IV6" s="1223"/>
    </row>
    <row r="7" spans="1:256" ht="12.75">
      <c r="A7" s="1223"/>
      <c r="B7" s="1223"/>
      <c r="C7" s="1223"/>
      <c r="D7" s="1223"/>
      <c r="E7" s="1223"/>
      <c r="F7" s="1223"/>
      <c r="G7" s="1223"/>
      <c r="H7" s="1223"/>
      <c r="I7" s="1223"/>
      <c r="J7" s="1223"/>
      <c r="K7" s="1223"/>
      <c r="L7" s="1223"/>
      <c r="M7" s="1223"/>
      <c r="N7" s="1223"/>
      <c r="O7" s="1223"/>
      <c r="P7" s="1223"/>
      <c r="Q7" s="1223"/>
      <c r="R7" s="1223"/>
      <c r="S7" s="1223"/>
      <c r="T7" s="1223"/>
      <c r="U7" s="1223"/>
      <c r="V7" s="1223"/>
      <c r="W7" s="1223"/>
      <c r="X7" s="1223"/>
      <c r="Y7" s="1223"/>
      <c r="Z7" s="1223"/>
      <c r="AA7" s="1223"/>
      <c r="AB7" s="1223"/>
      <c r="AC7" s="1223"/>
      <c r="AD7" s="1223"/>
      <c r="AE7" s="1223"/>
      <c r="AF7" s="1223"/>
      <c r="AG7" s="1223"/>
      <c r="AH7" s="1223"/>
      <c r="AI7" s="1223"/>
      <c r="AJ7" s="1223"/>
      <c r="AK7" s="1223"/>
      <c r="AL7" s="1223"/>
      <c r="AM7" s="1223"/>
      <c r="AN7" s="1223"/>
      <c r="AO7" s="1223"/>
      <c r="AP7" s="1223"/>
      <c r="AQ7" s="1223"/>
      <c r="AR7" s="1223"/>
      <c r="AS7" s="1223"/>
      <c r="AT7" s="1223"/>
      <c r="AU7" s="1223"/>
      <c r="AV7" s="1223"/>
      <c r="AW7" s="1223"/>
      <c r="AX7" s="1223"/>
      <c r="AY7" s="1223"/>
      <c r="AZ7" s="1223"/>
      <c r="BA7" s="1223"/>
      <c r="BB7" s="1223"/>
      <c r="BC7" s="1223"/>
      <c r="BD7" s="1223"/>
      <c r="BE7" s="1223"/>
      <c r="BF7" s="1223"/>
      <c r="BG7" s="1223"/>
      <c r="BH7" s="1223"/>
      <c r="BI7" s="1223"/>
      <c r="BJ7" s="1223"/>
      <c r="BK7" s="1223"/>
      <c r="BL7" s="1223"/>
      <c r="BM7" s="1223"/>
      <c r="BN7" s="1223"/>
      <c r="BO7" s="1223"/>
      <c r="BP7" s="1223"/>
      <c r="BQ7" s="1223"/>
      <c r="BR7" s="1223"/>
      <c r="BS7" s="1223"/>
      <c r="BT7" s="1223"/>
      <c r="BU7" s="1223"/>
      <c r="BV7" s="1223"/>
      <c r="BW7" s="1223"/>
      <c r="BX7" s="1223"/>
      <c r="BY7" s="1223"/>
      <c r="BZ7" s="1223"/>
      <c r="CA7" s="1223"/>
      <c r="CB7" s="1223"/>
      <c r="CC7" s="1223"/>
      <c r="CD7" s="1223"/>
      <c r="CE7" s="1223"/>
      <c r="CF7" s="1223"/>
      <c r="CG7" s="1223"/>
      <c r="CH7" s="1223"/>
      <c r="CI7" s="1223"/>
      <c r="CJ7" s="1223"/>
      <c r="CK7" s="1223"/>
      <c r="CL7" s="1223"/>
      <c r="CM7" s="1223"/>
      <c r="CN7" s="1223"/>
      <c r="CO7" s="1223"/>
      <c r="CP7" s="1223"/>
      <c r="CQ7" s="1223"/>
      <c r="CR7" s="1223"/>
      <c r="CS7" s="1223"/>
      <c r="CT7" s="1223"/>
      <c r="CU7" s="1223"/>
      <c r="CV7" s="1223"/>
      <c r="CW7" s="1223"/>
      <c r="CX7" s="1223"/>
      <c r="CY7" s="1223"/>
      <c r="CZ7" s="1223"/>
      <c r="DA7" s="1223"/>
      <c r="DB7" s="1223"/>
      <c r="DC7" s="1223"/>
      <c r="DD7" s="1223"/>
      <c r="DE7" s="1223"/>
      <c r="DF7" s="1223"/>
      <c r="DG7" s="1223"/>
      <c r="DH7" s="1223"/>
      <c r="DI7" s="1223"/>
      <c r="DJ7" s="1223"/>
      <c r="DK7" s="1223"/>
      <c r="DL7" s="1223"/>
      <c r="DM7" s="1223"/>
      <c r="DN7" s="1223"/>
      <c r="DO7" s="1223"/>
      <c r="DP7" s="1223"/>
      <c r="DQ7" s="1223"/>
      <c r="DR7" s="1223"/>
      <c r="DS7" s="1223"/>
      <c r="DT7" s="1223"/>
      <c r="DU7" s="1223"/>
      <c r="DV7" s="1223"/>
      <c r="DW7" s="1223"/>
      <c r="DX7" s="1223"/>
      <c r="DY7" s="1223"/>
      <c r="DZ7" s="1223"/>
      <c r="EA7" s="1223"/>
      <c r="EB7" s="1223"/>
      <c r="EC7" s="1223"/>
      <c r="ED7" s="1223"/>
      <c r="EE7" s="1223"/>
      <c r="EF7" s="1223"/>
      <c r="EG7" s="1223"/>
      <c r="EH7" s="1223"/>
      <c r="EI7" s="1223"/>
      <c r="EJ7" s="1223"/>
      <c r="EK7" s="1223"/>
      <c r="EL7" s="1223"/>
      <c r="EM7" s="1223"/>
      <c r="EN7" s="1223"/>
      <c r="EO7" s="1223"/>
      <c r="EP7" s="1223"/>
      <c r="EQ7" s="1223"/>
      <c r="ER7" s="1223"/>
      <c r="ES7" s="1223"/>
      <c r="ET7" s="1223"/>
      <c r="EU7" s="1223"/>
      <c r="EV7" s="1223"/>
      <c r="EW7" s="1223"/>
      <c r="EX7" s="1223"/>
      <c r="EY7" s="1223"/>
      <c r="EZ7" s="1223"/>
      <c r="FA7" s="1223"/>
      <c r="FB7" s="1223"/>
      <c r="FC7" s="1223"/>
      <c r="FD7" s="1223"/>
      <c r="FE7" s="1223"/>
      <c r="FF7" s="1223"/>
      <c r="FG7" s="1223"/>
      <c r="FH7" s="1223"/>
      <c r="FI7" s="1223"/>
      <c r="FJ7" s="1223"/>
      <c r="FK7" s="1223"/>
      <c r="FL7" s="1223"/>
      <c r="FM7" s="1223"/>
      <c r="FN7" s="1223"/>
      <c r="FO7" s="1223"/>
      <c r="FP7" s="1223"/>
      <c r="FQ7" s="1223"/>
      <c r="FR7" s="1223"/>
      <c r="FS7" s="1223"/>
      <c r="FT7" s="1223"/>
      <c r="FU7" s="1223"/>
      <c r="FV7" s="1223"/>
      <c r="FW7" s="1223"/>
      <c r="FX7" s="1223"/>
      <c r="FY7" s="1223"/>
      <c r="FZ7" s="1223"/>
      <c r="GA7" s="1223"/>
      <c r="GB7" s="1223"/>
      <c r="GC7" s="1223"/>
      <c r="GD7" s="1223"/>
      <c r="GE7" s="1223"/>
      <c r="GF7" s="1223"/>
      <c r="GG7" s="1223"/>
      <c r="GH7" s="1223"/>
      <c r="GI7" s="1223"/>
      <c r="GJ7" s="1223"/>
      <c r="GK7" s="1223"/>
      <c r="GL7" s="1223"/>
      <c r="GM7" s="1223"/>
      <c r="GN7" s="1223"/>
      <c r="GO7" s="1223"/>
      <c r="GP7" s="1223"/>
      <c r="GQ7" s="1223"/>
      <c r="GR7" s="1223"/>
      <c r="GS7" s="1223"/>
      <c r="GT7" s="1223"/>
      <c r="GU7" s="1223"/>
      <c r="GV7" s="1223"/>
      <c r="GW7" s="1223"/>
      <c r="GX7" s="1223"/>
      <c r="GY7" s="1223"/>
      <c r="GZ7" s="1223"/>
      <c r="HA7" s="1223"/>
      <c r="HB7" s="1223"/>
      <c r="HC7" s="1223"/>
      <c r="HD7" s="1223"/>
      <c r="HE7" s="1223"/>
      <c r="HF7" s="1223"/>
      <c r="HG7" s="1223"/>
      <c r="HH7" s="1223"/>
      <c r="HI7" s="1223"/>
      <c r="HJ7" s="1223"/>
      <c r="HK7" s="1223"/>
      <c r="HL7" s="1223"/>
      <c r="HM7" s="1223"/>
      <c r="HN7" s="1223"/>
      <c r="HO7" s="1223"/>
      <c r="HP7" s="1223"/>
      <c r="HQ7" s="1223"/>
      <c r="HR7" s="1223"/>
      <c r="HS7" s="1223"/>
      <c r="HT7" s="1223"/>
      <c r="HU7" s="1223"/>
      <c r="HV7" s="1223"/>
      <c r="HW7" s="1223"/>
      <c r="HX7" s="1223"/>
      <c r="HY7" s="1223"/>
      <c r="HZ7" s="1223"/>
      <c r="IA7" s="1223"/>
      <c r="IB7" s="1223"/>
      <c r="IC7" s="1223"/>
      <c r="ID7" s="1223"/>
      <c r="IE7" s="1223"/>
      <c r="IF7" s="1223"/>
      <c r="IG7" s="1223"/>
      <c r="IH7" s="1223"/>
      <c r="II7" s="1223"/>
      <c r="IJ7" s="1223"/>
      <c r="IK7" s="1223"/>
      <c r="IL7" s="1223"/>
      <c r="IM7" s="1223"/>
      <c r="IN7" s="1223"/>
      <c r="IO7" s="1223"/>
      <c r="IP7" s="1223"/>
      <c r="IQ7" s="1223"/>
      <c r="IR7" s="1223"/>
      <c r="IS7" s="1223"/>
      <c r="IT7" s="1223"/>
      <c r="IU7" s="1223"/>
      <c r="IV7" s="1223"/>
    </row>
    <row r="8" spans="1:256" ht="18.75">
      <c r="A8" s="1317" t="s">
        <v>1248</v>
      </c>
      <c r="B8" s="1317"/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1317"/>
      <c r="X8" s="1317"/>
      <c r="Y8" s="1317"/>
      <c r="Z8" s="1317"/>
      <c r="AA8" s="1317"/>
      <c r="AB8" s="1230"/>
      <c r="AC8" s="1230"/>
      <c r="AD8" s="1230"/>
      <c r="AE8" s="1230"/>
      <c r="AF8" s="1230"/>
      <c r="AG8" s="1230"/>
      <c r="AH8" s="1230"/>
      <c r="AI8" s="1230"/>
      <c r="AJ8" s="1230"/>
      <c r="AK8" s="1230"/>
      <c r="AL8" s="1230"/>
      <c r="AM8" s="1230"/>
      <c r="AN8" s="1230"/>
      <c r="AO8" s="1230"/>
      <c r="AP8" s="1230"/>
      <c r="AQ8" s="1230"/>
      <c r="AR8" s="1230"/>
      <c r="AS8" s="1230"/>
      <c r="AT8" s="1230"/>
      <c r="AU8" s="1230"/>
      <c r="AV8" s="1230"/>
      <c r="AW8" s="1230"/>
      <c r="AX8" s="1230"/>
      <c r="AY8" s="1230"/>
      <c r="AZ8" s="1230"/>
      <c r="BA8" s="1230"/>
      <c r="BB8" s="1230"/>
      <c r="BC8" s="1230"/>
      <c r="BD8" s="1230"/>
      <c r="BE8" s="1230"/>
      <c r="BF8" s="1230"/>
      <c r="BG8" s="1230"/>
      <c r="BH8" s="1230"/>
      <c r="BI8" s="1230"/>
      <c r="BJ8" s="1230"/>
      <c r="BK8" s="1230"/>
      <c r="BL8" s="1230"/>
      <c r="BM8" s="1230"/>
      <c r="BN8" s="1230"/>
      <c r="BO8" s="1230"/>
      <c r="BP8" s="1230"/>
      <c r="BQ8" s="1230"/>
      <c r="BR8" s="1230"/>
      <c r="BS8" s="1230"/>
      <c r="BT8" s="1230"/>
      <c r="BU8" s="1230"/>
      <c r="BV8" s="1230"/>
      <c r="BW8" s="1230"/>
      <c r="BX8" s="1230"/>
      <c r="BY8" s="1230"/>
      <c r="BZ8" s="1230"/>
      <c r="CA8" s="1230"/>
      <c r="CB8" s="1230"/>
      <c r="CC8" s="1230"/>
      <c r="CD8" s="1230"/>
      <c r="CE8" s="1230"/>
      <c r="CF8" s="1230"/>
      <c r="CG8" s="1230"/>
      <c r="CH8" s="1230"/>
      <c r="CI8" s="1230"/>
      <c r="CJ8" s="1230"/>
      <c r="CK8" s="1230"/>
      <c r="CL8" s="1230"/>
      <c r="CM8" s="1230"/>
      <c r="CN8" s="1230"/>
      <c r="CO8" s="1230"/>
      <c r="CP8" s="1230"/>
      <c r="CQ8" s="1230"/>
      <c r="CR8" s="1230"/>
      <c r="CS8" s="1230"/>
      <c r="CT8" s="1230"/>
      <c r="CU8" s="1230"/>
      <c r="CV8" s="1230"/>
      <c r="CW8" s="1230"/>
      <c r="CX8" s="1230"/>
      <c r="CY8" s="1230"/>
      <c r="CZ8" s="1230"/>
      <c r="DA8" s="1230"/>
      <c r="DB8" s="1230"/>
      <c r="DC8" s="1230"/>
      <c r="DD8" s="1230"/>
      <c r="DE8" s="1230"/>
      <c r="DF8" s="1230"/>
      <c r="DG8" s="1230"/>
      <c r="DH8" s="1230"/>
      <c r="DI8" s="1230"/>
      <c r="DJ8" s="1230"/>
      <c r="DK8" s="1230"/>
      <c r="DL8" s="1230"/>
      <c r="DM8" s="1230"/>
      <c r="DN8" s="1230"/>
      <c r="DO8" s="1230"/>
      <c r="DP8" s="1230"/>
      <c r="DQ8" s="1230"/>
      <c r="DR8" s="1230"/>
      <c r="DS8" s="1230"/>
      <c r="DT8" s="1230"/>
      <c r="DU8" s="1230"/>
      <c r="DV8" s="1230"/>
      <c r="DW8" s="1230"/>
      <c r="DX8" s="1230"/>
      <c r="DY8" s="1230"/>
      <c r="DZ8" s="1230"/>
      <c r="EA8" s="1230"/>
      <c r="EB8" s="1230"/>
      <c r="EC8" s="1230"/>
      <c r="ED8" s="1230"/>
      <c r="EE8" s="1230"/>
      <c r="EF8" s="1230"/>
      <c r="EG8" s="1230"/>
      <c r="EH8" s="1230"/>
      <c r="EI8" s="1230"/>
      <c r="EJ8" s="1230"/>
      <c r="EK8" s="1230"/>
      <c r="EL8" s="1230"/>
      <c r="EM8" s="1230"/>
      <c r="EN8" s="1230"/>
      <c r="EO8" s="1230"/>
      <c r="EP8" s="1230"/>
      <c r="EQ8" s="1230"/>
      <c r="ER8" s="1230"/>
      <c r="ES8" s="1230"/>
      <c r="ET8" s="1230"/>
      <c r="EU8" s="1230"/>
      <c r="EV8" s="1230"/>
      <c r="EW8" s="1230"/>
      <c r="EX8" s="1230"/>
      <c r="EY8" s="1230"/>
      <c r="EZ8" s="1230"/>
      <c r="FA8" s="1230"/>
      <c r="FB8" s="1230"/>
      <c r="FC8" s="1230"/>
      <c r="FD8" s="1230"/>
      <c r="FE8" s="1230"/>
      <c r="FF8" s="1230"/>
      <c r="FG8" s="1230"/>
      <c r="FH8" s="1230"/>
      <c r="FI8" s="1230"/>
      <c r="FJ8" s="1230"/>
      <c r="FK8" s="1230"/>
      <c r="FL8" s="1230"/>
      <c r="FM8" s="1230"/>
      <c r="FN8" s="1230"/>
      <c r="FO8" s="1230"/>
      <c r="FP8" s="1230"/>
      <c r="FQ8" s="1230"/>
      <c r="FR8" s="1230"/>
      <c r="FS8" s="1230"/>
      <c r="FT8" s="1230"/>
      <c r="FU8" s="1230"/>
      <c r="FV8" s="1230"/>
      <c r="FW8" s="1230"/>
      <c r="FX8" s="1230"/>
      <c r="FY8" s="1230"/>
      <c r="FZ8" s="1230"/>
      <c r="GA8" s="1230"/>
      <c r="GB8" s="1230"/>
      <c r="GC8" s="1230"/>
      <c r="GD8" s="1230"/>
      <c r="GE8" s="1230"/>
      <c r="GF8" s="1230"/>
      <c r="GG8" s="1230"/>
      <c r="GH8" s="1230"/>
      <c r="GI8" s="1230"/>
      <c r="GJ8" s="1230"/>
      <c r="GK8" s="1230"/>
      <c r="GL8" s="1230"/>
      <c r="GM8" s="1230"/>
      <c r="GN8" s="1230"/>
      <c r="GO8" s="1230"/>
      <c r="GP8" s="1230"/>
      <c r="GQ8" s="1230"/>
      <c r="GR8" s="1230"/>
      <c r="GS8" s="1230"/>
      <c r="GT8" s="1230"/>
      <c r="GU8" s="1230"/>
      <c r="GV8" s="1230"/>
      <c r="GW8" s="1230"/>
      <c r="GX8" s="1230"/>
      <c r="GY8" s="1230"/>
      <c r="GZ8" s="1230"/>
      <c r="HA8" s="1230"/>
      <c r="HB8" s="1230"/>
      <c r="HC8" s="1230"/>
      <c r="HD8" s="1230"/>
      <c r="HE8" s="1230"/>
      <c r="HF8" s="1230"/>
      <c r="HG8" s="1230"/>
      <c r="HH8" s="1230"/>
      <c r="HI8" s="1230"/>
      <c r="HJ8" s="1230"/>
      <c r="HK8" s="1230"/>
      <c r="HL8" s="1230"/>
      <c r="HM8" s="1230"/>
      <c r="HN8" s="1230"/>
      <c r="HO8" s="1230"/>
      <c r="HP8" s="1230"/>
      <c r="HQ8" s="1230"/>
      <c r="HR8" s="1230"/>
      <c r="HS8" s="1230"/>
      <c r="HT8" s="1230"/>
      <c r="HU8" s="1230"/>
      <c r="HV8" s="1230"/>
      <c r="HW8" s="1230"/>
      <c r="HX8" s="1230"/>
      <c r="HY8" s="1230"/>
      <c r="HZ8" s="1230"/>
      <c r="IA8" s="1230"/>
      <c r="IB8" s="1230"/>
      <c r="IC8" s="1230"/>
      <c r="ID8" s="1230"/>
      <c r="IE8" s="1230"/>
      <c r="IF8" s="1230"/>
      <c r="IG8" s="1230"/>
      <c r="IH8" s="1230"/>
      <c r="II8" s="1230"/>
      <c r="IJ8" s="1230"/>
      <c r="IK8" s="1230"/>
      <c r="IL8" s="1230"/>
      <c r="IM8" s="1230"/>
      <c r="IN8" s="1230"/>
      <c r="IO8" s="1230"/>
      <c r="IP8" s="1230"/>
      <c r="IQ8" s="1230"/>
      <c r="IR8" s="1230"/>
      <c r="IS8" s="1230"/>
      <c r="IT8" s="1230"/>
      <c r="IU8" s="1230"/>
      <c r="IV8" s="1230"/>
    </row>
    <row r="9" spans="1:256" ht="12.75">
      <c r="A9" s="1318"/>
      <c r="B9" s="1318"/>
      <c r="C9" s="1318"/>
      <c r="D9" s="1318"/>
      <c r="E9" s="1318"/>
      <c r="F9" s="1318"/>
      <c r="G9" s="1318"/>
      <c r="H9" s="1318"/>
      <c r="I9" s="1318"/>
      <c r="J9" s="1318"/>
      <c r="K9" s="1318"/>
      <c r="L9" s="1318"/>
      <c r="M9" s="1318"/>
      <c r="N9" s="1318"/>
      <c r="O9" s="1318"/>
      <c r="P9" s="1318"/>
      <c r="Q9" s="1318"/>
      <c r="R9" s="1318"/>
      <c r="S9" s="1318"/>
      <c r="T9" s="1318"/>
      <c r="U9" s="1318"/>
      <c r="V9" s="1318"/>
      <c r="W9" s="1318"/>
      <c r="X9" s="1318"/>
      <c r="Y9" s="1318"/>
      <c r="Z9" s="1318"/>
      <c r="AA9" s="1318"/>
      <c r="AB9" s="1230"/>
      <c r="AC9" s="1230"/>
      <c r="AD9" s="1230"/>
      <c r="AE9" s="1230"/>
      <c r="AF9" s="1230"/>
      <c r="AG9" s="1230"/>
      <c r="AH9" s="1230"/>
      <c r="AI9" s="1230"/>
      <c r="AJ9" s="1230"/>
      <c r="AK9" s="1230"/>
      <c r="AL9" s="1230"/>
      <c r="AM9" s="1230"/>
      <c r="AN9" s="1230"/>
      <c r="AO9" s="1230"/>
      <c r="AP9" s="1230"/>
      <c r="AQ9" s="1230"/>
      <c r="AR9" s="1230"/>
      <c r="AS9" s="1230"/>
      <c r="AT9" s="1230"/>
      <c r="AU9" s="1230"/>
      <c r="AV9" s="1230"/>
      <c r="AW9" s="1230"/>
      <c r="AX9" s="1230"/>
      <c r="AY9" s="1230"/>
      <c r="AZ9" s="1230"/>
      <c r="BA9" s="1230"/>
      <c r="BB9" s="1230"/>
      <c r="BC9" s="1230"/>
      <c r="BD9" s="1230"/>
      <c r="BE9" s="1230"/>
      <c r="BF9" s="1230"/>
      <c r="BG9" s="1230"/>
      <c r="BH9" s="1230"/>
      <c r="BI9" s="1230"/>
      <c r="BJ9" s="1230"/>
      <c r="BK9" s="1230"/>
      <c r="BL9" s="1230"/>
      <c r="BM9" s="1230"/>
      <c r="BN9" s="1230"/>
      <c r="BO9" s="1230"/>
      <c r="BP9" s="1230"/>
      <c r="BQ9" s="1230"/>
      <c r="BR9" s="1230"/>
      <c r="BS9" s="1230"/>
      <c r="BT9" s="1230"/>
      <c r="BU9" s="1230"/>
      <c r="BV9" s="1230"/>
      <c r="BW9" s="1230"/>
      <c r="BX9" s="1230"/>
      <c r="BY9" s="1230"/>
      <c r="BZ9" s="1230"/>
      <c r="CA9" s="1230"/>
      <c r="CB9" s="1230"/>
      <c r="CC9" s="1230"/>
      <c r="CD9" s="1230"/>
      <c r="CE9" s="1230"/>
      <c r="CF9" s="1230"/>
      <c r="CG9" s="1230"/>
      <c r="CH9" s="1230"/>
      <c r="CI9" s="1230"/>
      <c r="CJ9" s="1230"/>
      <c r="CK9" s="1230"/>
      <c r="CL9" s="1230"/>
      <c r="CM9" s="1230"/>
      <c r="CN9" s="1230"/>
      <c r="CO9" s="1230"/>
      <c r="CP9" s="1230"/>
      <c r="CQ9" s="1230"/>
      <c r="CR9" s="1230"/>
      <c r="CS9" s="1230"/>
      <c r="CT9" s="1230"/>
      <c r="CU9" s="1230"/>
      <c r="CV9" s="1230"/>
      <c r="CW9" s="1230"/>
      <c r="CX9" s="1230"/>
      <c r="CY9" s="1230"/>
      <c r="CZ9" s="1230"/>
      <c r="DA9" s="1230"/>
      <c r="DB9" s="1230"/>
      <c r="DC9" s="1230"/>
      <c r="DD9" s="1230"/>
      <c r="DE9" s="1230"/>
      <c r="DF9" s="1230"/>
      <c r="DG9" s="1230"/>
      <c r="DH9" s="1230"/>
      <c r="DI9" s="1230"/>
      <c r="DJ9" s="1230"/>
      <c r="DK9" s="1230"/>
      <c r="DL9" s="1230"/>
      <c r="DM9" s="1230"/>
      <c r="DN9" s="1230"/>
      <c r="DO9" s="1230"/>
      <c r="DP9" s="1230"/>
      <c r="DQ9" s="1230"/>
      <c r="DR9" s="1230"/>
      <c r="DS9" s="1230"/>
      <c r="DT9" s="1230"/>
      <c r="DU9" s="1230"/>
      <c r="DV9" s="1230"/>
      <c r="DW9" s="1230"/>
      <c r="DX9" s="1230"/>
      <c r="DY9" s="1230"/>
      <c r="DZ9" s="1230"/>
      <c r="EA9" s="1230"/>
      <c r="EB9" s="1230"/>
      <c r="EC9" s="1230"/>
      <c r="ED9" s="1230"/>
      <c r="EE9" s="1230"/>
      <c r="EF9" s="1230"/>
      <c r="EG9" s="1230"/>
      <c r="EH9" s="1230"/>
      <c r="EI9" s="1230"/>
      <c r="EJ9" s="1230"/>
      <c r="EK9" s="1230"/>
      <c r="EL9" s="1230"/>
      <c r="EM9" s="1230"/>
      <c r="EN9" s="1230"/>
      <c r="EO9" s="1230"/>
      <c r="EP9" s="1230"/>
      <c r="EQ9" s="1230"/>
      <c r="ER9" s="1230"/>
      <c r="ES9" s="1230"/>
      <c r="ET9" s="1230"/>
      <c r="EU9" s="1230"/>
      <c r="EV9" s="1230"/>
      <c r="EW9" s="1230"/>
      <c r="EX9" s="1230"/>
      <c r="EY9" s="1230"/>
      <c r="EZ9" s="1230"/>
      <c r="FA9" s="1230"/>
      <c r="FB9" s="1230"/>
      <c r="FC9" s="1230"/>
      <c r="FD9" s="1230"/>
      <c r="FE9" s="1230"/>
      <c r="FF9" s="1230"/>
      <c r="FG9" s="1230"/>
      <c r="FH9" s="1230"/>
      <c r="FI9" s="1230"/>
      <c r="FJ9" s="1230"/>
      <c r="FK9" s="1230"/>
      <c r="FL9" s="1230"/>
      <c r="FM9" s="1230"/>
      <c r="FN9" s="1230"/>
      <c r="FO9" s="1230"/>
      <c r="FP9" s="1230"/>
      <c r="FQ9" s="1230"/>
      <c r="FR9" s="1230"/>
      <c r="FS9" s="1230"/>
      <c r="FT9" s="1230"/>
      <c r="FU9" s="1230"/>
      <c r="FV9" s="1230"/>
      <c r="FW9" s="1230"/>
      <c r="FX9" s="1230"/>
      <c r="FY9" s="1230"/>
      <c r="FZ9" s="1230"/>
      <c r="GA9" s="1230"/>
      <c r="GB9" s="1230"/>
      <c r="GC9" s="1230"/>
      <c r="GD9" s="1230"/>
      <c r="GE9" s="1230"/>
      <c r="GF9" s="1230"/>
      <c r="GG9" s="1230"/>
      <c r="GH9" s="1230"/>
      <c r="GI9" s="1230"/>
      <c r="GJ9" s="1230"/>
      <c r="GK9" s="1230"/>
      <c r="GL9" s="1230"/>
      <c r="GM9" s="1230"/>
      <c r="GN9" s="1230"/>
      <c r="GO9" s="1230"/>
      <c r="GP9" s="1230"/>
      <c r="GQ9" s="1230"/>
      <c r="GR9" s="1230"/>
      <c r="GS9" s="1230"/>
      <c r="GT9" s="1230"/>
      <c r="GU9" s="1230"/>
      <c r="GV9" s="1230"/>
      <c r="GW9" s="1230"/>
      <c r="GX9" s="1230"/>
      <c r="GY9" s="1230"/>
      <c r="GZ9" s="1230"/>
      <c r="HA9" s="1230"/>
      <c r="HB9" s="1230"/>
      <c r="HC9" s="1230"/>
      <c r="HD9" s="1230"/>
      <c r="HE9" s="1230"/>
      <c r="HF9" s="1230"/>
      <c r="HG9" s="1230"/>
      <c r="HH9" s="1230"/>
      <c r="HI9" s="1230"/>
      <c r="HJ9" s="1230"/>
      <c r="HK9" s="1230"/>
      <c r="HL9" s="1230"/>
      <c r="HM9" s="1230"/>
      <c r="HN9" s="1230"/>
      <c r="HO9" s="1230"/>
      <c r="HP9" s="1230"/>
      <c r="HQ9" s="1230"/>
      <c r="HR9" s="1230"/>
      <c r="HS9" s="1230"/>
      <c r="HT9" s="1230"/>
      <c r="HU9" s="1230"/>
      <c r="HV9" s="1230"/>
      <c r="HW9" s="1230"/>
      <c r="HX9" s="1230"/>
      <c r="HY9" s="1230"/>
      <c r="HZ9" s="1230"/>
      <c r="IA9" s="1230"/>
      <c r="IB9" s="1230"/>
      <c r="IC9" s="1230"/>
      <c r="ID9" s="1230"/>
      <c r="IE9" s="1230"/>
      <c r="IF9" s="1230"/>
      <c r="IG9" s="1230"/>
      <c r="IH9" s="1230"/>
      <c r="II9" s="1230"/>
      <c r="IJ9" s="1230"/>
      <c r="IK9" s="1230"/>
      <c r="IL9" s="1230"/>
      <c r="IM9" s="1230"/>
      <c r="IN9" s="1230"/>
      <c r="IO9" s="1230"/>
      <c r="IP9" s="1230"/>
      <c r="IQ9" s="1230"/>
      <c r="IR9" s="1230"/>
      <c r="IS9" s="1230"/>
      <c r="IT9" s="1230"/>
      <c r="IU9" s="1230"/>
      <c r="IV9" s="1230"/>
    </row>
    <row r="10" spans="1:256" ht="15.75">
      <c r="A10" s="1230"/>
      <c r="B10" s="1231"/>
      <c r="C10" s="1319" t="s">
        <v>1249</v>
      </c>
      <c r="D10" s="1319"/>
      <c r="E10" s="1319"/>
      <c r="F10" s="1319"/>
      <c r="G10" s="1319"/>
      <c r="H10" s="1320" t="str">
        <f>Титульный!B11</f>
        <v>Наро-Фоминский м.р.</v>
      </c>
      <c r="I10" s="1320"/>
      <c r="J10" s="1320"/>
      <c r="K10" s="1320"/>
      <c r="L10" s="1320"/>
      <c r="M10" s="1320"/>
      <c r="N10" s="1320"/>
      <c r="O10" s="1320"/>
      <c r="P10" s="1320"/>
      <c r="Q10" s="1232"/>
      <c r="R10" s="1231"/>
      <c r="S10" s="1231"/>
      <c r="T10" s="1231"/>
      <c r="U10" s="1231"/>
      <c r="V10" s="1233"/>
      <c r="W10" s="1233"/>
      <c r="X10" s="1233"/>
      <c r="Y10" s="1233"/>
      <c r="Z10" s="1233"/>
      <c r="AA10" s="1233"/>
      <c r="AB10" s="1230"/>
      <c r="AC10" s="1230"/>
      <c r="AD10" s="1230"/>
      <c r="AE10" s="1230"/>
      <c r="AF10" s="1230"/>
      <c r="AG10" s="1230"/>
      <c r="AH10" s="1230"/>
      <c r="AI10" s="1230"/>
      <c r="AJ10" s="1230"/>
      <c r="AK10" s="1230"/>
      <c r="AL10" s="1230"/>
      <c r="AM10" s="1230"/>
      <c r="AN10" s="1230"/>
      <c r="AO10" s="1230"/>
      <c r="AP10" s="1230"/>
      <c r="AQ10" s="1230"/>
      <c r="AR10" s="1230"/>
      <c r="AS10" s="1230"/>
      <c r="AT10" s="1230"/>
      <c r="AU10" s="1230"/>
      <c r="AV10" s="1230"/>
      <c r="AW10" s="1230"/>
      <c r="AX10" s="1230"/>
      <c r="AY10" s="1230"/>
      <c r="AZ10" s="1230"/>
      <c r="BA10" s="1230"/>
      <c r="BB10" s="1230"/>
      <c r="BC10" s="1230"/>
      <c r="BD10" s="1230"/>
      <c r="BE10" s="1230"/>
      <c r="BF10" s="1230"/>
      <c r="BG10" s="1230"/>
      <c r="BH10" s="1230"/>
      <c r="BI10" s="1230"/>
      <c r="BJ10" s="1230"/>
      <c r="BK10" s="1230"/>
      <c r="BL10" s="1230"/>
      <c r="BM10" s="1230"/>
      <c r="BN10" s="1230"/>
      <c r="BO10" s="1230"/>
      <c r="BP10" s="1230"/>
      <c r="BQ10" s="1230"/>
      <c r="BR10" s="1230"/>
      <c r="BS10" s="1230"/>
      <c r="BT10" s="1230"/>
      <c r="BU10" s="1230"/>
      <c r="BV10" s="1230"/>
      <c r="BW10" s="1230"/>
      <c r="BX10" s="1230"/>
      <c r="BY10" s="1230"/>
      <c r="BZ10" s="1230"/>
      <c r="CA10" s="1230"/>
      <c r="CB10" s="1230"/>
      <c r="CC10" s="1230"/>
      <c r="CD10" s="1230"/>
      <c r="CE10" s="1230"/>
      <c r="CF10" s="1230"/>
      <c r="CG10" s="1230"/>
      <c r="CH10" s="1230"/>
      <c r="CI10" s="1230"/>
      <c r="CJ10" s="1230"/>
      <c r="CK10" s="1230"/>
      <c r="CL10" s="1230"/>
      <c r="CM10" s="1230"/>
      <c r="CN10" s="1230"/>
      <c r="CO10" s="1230"/>
      <c r="CP10" s="1230"/>
      <c r="CQ10" s="1230"/>
      <c r="CR10" s="1230"/>
      <c r="CS10" s="1230"/>
      <c r="CT10" s="1230"/>
      <c r="CU10" s="1230"/>
      <c r="CV10" s="1230"/>
      <c r="CW10" s="1230"/>
      <c r="CX10" s="1230"/>
      <c r="CY10" s="1230"/>
      <c r="CZ10" s="1230"/>
      <c r="DA10" s="1230"/>
      <c r="DB10" s="1230"/>
      <c r="DC10" s="1230"/>
      <c r="DD10" s="1230"/>
      <c r="DE10" s="1230"/>
      <c r="DF10" s="1230"/>
      <c r="DG10" s="1230"/>
      <c r="DH10" s="1230"/>
      <c r="DI10" s="1230"/>
      <c r="DJ10" s="1230"/>
      <c r="DK10" s="1230"/>
      <c r="DL10" s="1230"/>
      <c r="DM10" s="1230"/>
      <c r="DN10" s="1230"/>
      <c r="DO10" s="1230"/>
      <c r="DP10" s="1230"/>
      <c r="DQ10" s="1230"/>
      <c r="DR10" s="1230"/>
      <c r="DS10" s="1230"/>
      <c r="DT10" s="1230"/>
      <c r="DU10" s="1230"/>
      <c r="DV10" s="1230"/>
      <c r="DW10" s="1230"/>
      <c r="DX10" s="1230"/>
      <c r="DY10" s="1230"/>
      <c r="DZ10" s="1230"/>
      <c r="EA10" s="1230"/>
      <c r="EB10" s="1230"/>
      <c r="EC10" s="1230"/>
      <c r="ED10" s="1230"/>
      <c r="EE10" s="1230"/>
      <c r="EF10" s="1230"/>
      <c r="EG10" s="1230"/>
      <c r="EH10" s="1230"/>
      <c r="EI10" s="1230"/>
      <c r="EJ10" s="1230"/>
      <c r="EK10" s="1230"/>
      <c r="EL10" s="1230"/>
      <c r="EM10" s="1230"/>
      <c r="EN10" s="1230"/>
      <c r="EO10" s="1230"/>
      <c r="EP10" s="1230"/>
      <c r="EQ10" s="1230"/>
      <c r="ER10" s="1230"/>
      <c r="ES10" s="1230"/>
      <c r="ET10" s="1230"/>
      <c r="EU10" s="1230"/>
      <c r="EV10" s="1230"/>
      <c r="EW10" s="1230"/>
      <c r="EX10" s="1230"/>
      <c r="EY10" s="1230"/>
      <c r="EZ10" s="1230"/>
      <c r="FA10" s="1230"/>
      <c r="FB10" s="1230"/>
      <c r="FC10" s="1230"/>
      <c r="FD10" s="1230"/>
      <c r="FE10" s="1230"/>
      <c r="FF10" s="1230"/>
      <c r="FG10" s="1230"/>
      <c r="FH10" s="1230"/>
      <c r="FI10" s="1230"/>
      <c r="FJ10" s="1230"/>
      <c r="FK10" s="1230"/>
      <c r="FL10" s="1230"/>
      <c r="FM10" s="1230"/>
      <c r="FN10" s="1230"/>
      <c r="FO10" s="1230"/>
      <c r="FP10" s="1230"/>
      <c r="FQ10" s="1230"/>
      <c r="FR10" s="1230"/>
      <c r="FS10" s="1230"/>
      <c r="FT10" s="1230"/>
      <c r="FU10" s="1230"/>
      <c r="FV10" s="1230"/>
      <c r="FW10" s="1230"/>
      <c r="FX10" s="1230"/>
      <c r="FY10" s="1230"/>
      <c r="FZ10" s="1230"/>
      <c r="GA10" s="1230"/>
      <c r="GB10" s="1230"/>
      <c r="GC10" s="1230"/>
      <c r="GD10" s="1230"/>
      <c r="GE10" s="1230"/>
      <c r="GF10" s="1230"/>
      <c r="GG10" s="1230"/>
      <c r="GH10" s="1230"/>
      <c r="GI10" s="1230"/>
      <c r="GJ10" s="1230"/>
      <c r="GK10" s="1230"/>
      <c r="GL10" s="1230"/>
      <c r="GM10" s="1230"/>
      <c r="GN10" s="1230"/>
      <c r="GO10" s="1230"/>
      <c r="GP10" s="1230"/>
      <c r="GQ10" s="1230"/>
      <c r="GR10" s="1230"/>
      <c r="GS10" s="1230"/>
      <c r="GT10" s="1230"/>
      <c r="GU10" s="1230"/>
      <c r="GV10" s="1230"/>
      <c r="GW10" s="1230"/>
      <c r="GX10" s="1230"/>
      <c r="GY10" s="1230"/>
      <c r="GZ10" s="1230"/>
      <c r="HA10" s="1230"/>
      <c r="HB10" s="1230"/>
      <c r="HC10" s="1230"/>
      <c r="HD10" s="1230"/>
      <c r="HE10" s="1230"/>
      <c r="HF10" s="1230"/>
      <c r="HG10" s="1230"/>
      <c r="HH10" s="1230"/>
      <c r="HI10" s="1230"/>
      <c r="HJ10" s="1230"/>
      <c r="HK10" s="1230"/>
      <c r="HL10" s="1230"/>
      <c r="HM10" s="1230"/>
      <c r="HN10" s="1230"/>
      <c r="HO10" s="1230"/>
      <c r="HP10" s="1230"/>
      <c r="HQ10" s="1230"/>
      <c r="HR10" s="1230"/>
      <c r="HS10" s="1230"/>
      <c r="HT10" s="1230"/>
      <c r="HU10" s="1230"/>
      <c r="HV10" s="1230"/>
      <c r="HW10" s="1230"/>
      <c r="HX10" s="1230"/>
      <c r="HY10" s="1230"/>
      <c r="HZ10" s="1230"/>
      <c r="IA10" s="1230"/>
      <c r="IB10" s="1230"/>
      <c r="IC10" s="1230"/>
      <c r="ID10" s="1230"/>
      <c r="IE10" s="1230"/>
      <c r="IF10" s="1230"/>
      <c r="IG10" s="1230"/>
      <c r="IH10" s="1230"/>
      <c r="II10" s="1230"/>
      <c r="IJ10" s="1230"/>
      <c r="IK10" s="1230"/>
      <c r="IL10" s="1230"/>
      <c r="IM10" s="1230"/>
      <c r="IN10" s="1230"/>
      <c r="IO10" s="1230"/>
      <c r="IP10" s="1230"/>
      <c r="IQ10" s="1230"/>
      <c r="IR10" s="1230"/>
      <c r="IS10" s="1230"/>
      <c r="IT10" s="1230"/>
      <c r="IU10" s="1230"/>
      <c r="IV10" s="1230"/>
    </row>
    <row r="11" spans="8:17" ht="12.75">
      <c r="H11" s="1234"/>
      <c r="I11" s="1234"/>
      <c r="J11" s="1234"/>
      <c r="K11" s="1234"/>
      <c r="L11" s="1234"/>
      <c r="M11" s="1234"/>
      <c r="N11" s="1234"/>
      <c r="O11" s="1234"/>
      <c r="P11" s="1234"/>
      <c r="Q11" s="1234"/>
    </row>
    <row r="12" spans="1:256" ht="15.75">
      <c r="A12" s="1230"/>
      <c r="B12" s="1231"/>
      <c r="C12" s="1319" t="s">
        <v>1250</v>
      </c>
      <c r="D12" s="1319"/>
      <c r="E12" s="1319"/>
      <c r="F12" s="1319"/>
      <c r="G12" s="1319"/>
      <c r="H12" s="1320" t="str">
        <f>Титульный!B10</f>
        <v>ООО "Дирекция Голицыно-3"</v>
      </c>
      <c r="I12" s="1320"/>
      <c r="J12" s="1320"/>
      <c r="K12" s="1320"/>
      <c r="L12" s="1320"/>
      <c r="M12" s="1320"/>
      <c r="N12" s="1320"/>
      <c r="O12" s="1320"/>
      <c r="P12" s="1320"/>
      <c r="Q12" s="1232"/>
      <c r="R12" s="1231"/>
      <c r="S12" s="1231"/>
      <c r="T12" s="1231"/>
      <c r="U12" s="1231"/>
      <c r="V12" s="1233"/>
      <c r="W12" s="1233"/>
      <c r="X12" s="1233"/>
      <c r="Y12" s="1233"/>
      <c r="Z12" s="1233"/>
      <c r="AA12" s="1233"/>
      <c r="AB12" s="1230"/>
      <c r="AC12" s="1230"/>
      <c r="AD12" s="1230"/>
      <c r="AE12" s="1230"/>
      <c r="AF12" s="1230"/>
      <c r="AG12" s="1230"/>
      <c r="AH12" s="1230"/>
      <c r="AI12" s="1230"/>
      <c r="AJ12" s="1230"/>
      <c r="AK12" s="1230"/>
      <c r="AL12" s="1230"/>
      <c r="AM12" s="1230"/>
      <c r="AN12" s="1230"/>
      <c r="AO12" s="1230"/>
      <c r="AP12" s="1230"/>
      <c r="AQ12" s="1230"/>
      <c r="AR12" s="1230"/>
      <c r="AS12" s="1230"/>
      <c r="AT12" s="1230"/>
      <c r="AU12" s="1230"/>
      <c r="AV12" s="1230"/>
      <c r="AW12" s="1230"/>
      <c r="AX12" s="1230"/>
      <c r="AY12" s="1230"/>
      <c r="AZ12" s="1230"/>
      <c r="BA12" s="1230"/>
      <c r="BB12" s="1230"/>
      <c r="BC12" s="1230"/>
      <c r="BD12" s="1230"/>
      <c r="BE12" s="1230"/>
      <c r="BF12" s="1230"/>
      <c r="BG12" s="1230"/>
      <c r="BH12" s="1230"/>
      <c r="BI12" s="1230"/>
      <c r="BJ12" s="1230"/>
      <c r="BK12" s="1230"/>
      <c r="BL12" s="1230"/>
      <c r="BM12" s="1230"/>
      <c r="BN12" s="1230"/>
      <c r="BO12" s="1230"/>
      <c r="BP12" s="1230"/>
      <c r="BQ12" s="1230"/>
      <c r="BR12" s="1230"/>
      <c r="BS12" s="1230"/>
      <c r="BT12" s="1230"/>
      <c r="BU12" s="1230"/>
      <c r="BV12" s="1230"/>
      <c r="BW12" s="1230"/>
      <c r="BX12" s="1230"/>
      <c r="BY12" s="1230"/>
      <c r="BZ12" s="1230"/>
      <c r="CA12" s="1230"/>
      <c r="CB12" s="1230"/>
      <c r="CC12" s="1230"/>
      <c r="CD12" s="1230"/>
      <c r="CE12" s="1230"/>
      <c r="CF12" s="1230"/>
      <c r="CG12" s="1230"/>
      <c r="CH12" s="1230"/>
      <c r="CI12" s="1230"/>
      <c r="CJ12" s="1230"/>
      <c r="CK12" s="1230"/>
      <c r="CL12" s="1230"/>
      <c r="CM12" s="1230"/>
      <c r="CN12" s="1230"/>
      <c r="CO12" s="1230"/>
      <c r="CP12" s="1230"/>
      <c r="CQ12" s="1230"/>
      <c r="CR12" s="1230"/>
      <c r="CS12" s="1230"/>
      <c r="CT12" s="1230"/>
      <c r="CU12" s="1230"/>
      <c r="CV12" s="1230"/>
      <c r="CW12" s="1230"/>
      <c r="CX12" s="1230"/>
      <c r="CY12" s="1230"/>
      <c r="CZ12" s="1230"/>
      <c r="DA12" s="1230"/>
      <c r="DB12" s="1230"/>
      <c r="DC12" s="1230"/>
      <c r="DD12" s="1230"/>
      <c r="DE12" s="1230"/>
      <c r="DF12" s="1230"/>
      <c r="DG12" s="1230"/>
      <c r="DH12" s="1230"/>
      <c r="DI12" s="1230"/>
      <c r="DJ12" s="1230"/>
      <c r="DK12" s="1230"/>
      <c r="DL12" s="1230"/>
      <c r="DM12" s="1230"/>
      <c r="DN12" s="1230"/>
      <c r="DO12" s="1230"/>
      <c r="DP12" s="1230"/>
      <c r="DQ12" s="1230"/>
      <c r="DR12" s="1230"/>
      <c r="DS12" s="1230"/>
      <c r="DT12" s="1230"/>
      <c r="DU12" s="1230"/>
      <c r="DV12" s="1230"/>
      <c r="DW12" s="1230"/>
      <c r="DX12" s="1230"/>
      <c r="DY12" s="1230"/>
      <c r="DZ12" s="1230"/>
      <c r="EA12" s="1230"/>
      <c r="EB12" s="1230"/>
      <c r="EC12" s="1230"/>
      <c r="ED12" s="1230"/>
      <c r="EE12" s="1230"/>
      <c r="EF12" s="1230"/>
      <c r="EG12" s="1230"/>
      <c r="EH12" s="1230"/>
      <c r="EI12" s="1230"/>
      <c r="EJ12" s="1230"/>
      <c r="EK12" s="1230"/>
      <c r="EL12" s="1230"/>
      <c r="EM12" s="1230"/>
      <c r="EN12" s="1230"/>
      <c r="EO12" s="1230"/>
      <c r="EP12" s="1230"/>
      <c r="EQ12" s="1230"/>
      <c r="ER12" s="1230"/>
      <c r="ES12" s="1230"/>
      <c r="ET12" s="1230"/>
      <c r="EU12" s="1230"/>
      <c r="EV12" s="1230"/>
      <c r="EW12" s="1230"/>
      <c r="EX12" s="1230"/>
      <c r="EY12" s="1230"/>
      <c r="EZ12" s="1230"/>
      <c r="FA12" s="1230"/>
      <c r="FB12" s="1230"/>
      <c r="FC12" s="1230"/>
      <c r="FD12" s="1230"/>
      <c r="FE12" s="1230"/>
      <c r="FF12" s="1230"/>
      <c r="FG12" s="1230"/>
      <c r="FH12" s="1230"/>
      <c r="FI12" s="1230"/>
      <c r="FJ12" s="1230"/>
      <c r="FK12" s="1230"/>
      <c r="FL12" s="1230"/>
      <c r="FM12" s="1230"/>
      <c r="FN12" s="1230"/>
      <c r="FO12" s="1230"/>
      <c r="FP12" s="1230"/>
      <c r="FQ12" s="1230"/>
      <c r="FR12" s="1230"/>
      <c r="FS12" s="1230"/>
      <c r="FT12" s="1230"/>
      <c r="FU12" s="1230"/>
      <c r="FV12" s="1230"/>
      <c r="FW12" s="1230"/>
      <c r="FX12" s="1230"/>
      <c r="FY12" s="1230"/>
      <c r="FZ12" s="1230"/>
      <c r="GA12" s="1230"/>
      <c r="GB12" s="1230"/>
      <c r="GC12" s="1230"/>
      <c r="GD12" s="1230"/>
      <c r="GE12" s="1230"/>
      <c r="GF12" s="1230"/>
      <c r="GG12" s="1230"/>
      <c r="GH12" s="1230"/>
      <c r="GI12" s="1230"/>
      <c r="GJ12" s="1230"/>
      <c r="GK12" s="1230"/>
      <c r="GL12" s="1230"/>
      <c r="GM12" s="1230"/>
      <c r="GN12" s="1230"/>
      <c r="GO12" s="1230"/>
      <c r="GP12" s="1230"/>
      <c r="GQ12" s="1230"/>
      <c r="GR12" s="1230"/>
      <c r="GS12" s="1230"/>
      <c r="GT12" s="1230"/>
      <c r="GU12" s="1230"/>
      <c r="GV12" s="1230"/>
      <c r="GW12" s="1230"/>
      <c r="GX12" s="1230"/>
      <c r="GY12" s="1230"/>
      <c r="GZ12" s="1230"/>
      <c r="HA12" s="1230"/>
      <c r="HB12" s="1230"/>
      <c r="HC12" s="1230"/>
      <c r="HD12" s="1230"/>
      <c r="HE12" s="1230"/>
      <c r="HF12" s="1230"/>
      <c r="HG12" s="1230"/>
      <c r="HH12" s="1230"/>
      <c r="HI12" s="1230"/>
      <c r="HJ12" s="1230"/>
      <c r="HK12" s="1230"/>
      <c r="HL12" s="1230"/>
      <c r="HM12" s="1230"/>
      <c r="HN12" s="1230"/>
      <c r="HO12" s="1230"/>
      <c r="HP12" s="1230"/>
      <c r="HQ12" s="1230"/>
      <c r="HR12" s="1230"/>
      <c r="HS12" s="1230"/>
      <c r="HT12" s="1230"/>
      <c r="HU12" s="1230"/>
      <c r="HV12" s="1230"/>
      <c r="HW12" s="1230"/>
      <c r="HX12" s="1230"/>
      <c r="HY12" s="1230"/>
      <c r="HZ12" s="1230"/>
      <c r="IA12" s="1230"/>
      <c r="IB12" s="1230"/>
      <c r="IC12" s="1230"/>
      <c r="ID12" s="1230"/>
      <c r="IE12" s="1230"/>
      <c r="IF12" s="1230"/>
      <c r="IG12" s="1230"/>
      <c r="IH12" s="1230"/>
      <c r="II12" s="1230"/>
      <c r="IJ12" s="1230"/>
      <c r="IK12" s="1230"/>
      <c r="IL12" s="1230"/>
      <c r="IM12" s="1230"/>
      <c r="IN12" s="1230"/>
      <c r="IO12" s="1230"/>
      <c r="IP12" s="1230"/>
      <c r="IQ12" s="1230"/>
      <c r="IR12" s="1230"/>
      <c r="IS12" s="1230"/>
      <c r="IT12" s="1230"/>
      <c r="IU12" s="1230"/>
      <c r="IV12" s="1230"/>
    </row>
    <row r="14" spans="20:25" ht="12.75">
      <c r="T14" s="1321"/>
      <c r="U14" s="1321"/>
      <c r="V14" s="1235"/>
      <c r="W14" s="1235"/>
      <c r="X14" s="1235"/>
      <c r="Y14" s="1235"/>
    </row>
    <row r="15" spans="1:256" ht="18.75">
      <c r="A15" s="1322" t="s">
        <v>3</v>
      </c>
      <c r="B15" s="1325" t="s">
        <v>1251</v>
      </c>
      <c r="C15" s="1328" t="s">
        <v>1252</v>
      </c>
      <c r="D15" s="1329"/>
      <c r="E15" s="1330"/>
      <c r="F15" s="1337" t="s">
        <v>1253</v>
      </c>
      <c r="G15" s="1338"/>
      <c r="H15" s="1338"/>
      <c r="I15" s="1338"/>
      <c r="J15" s="1338"/>
      <c r="K15" s="1338"/>
      <c r="L15" s="1338"/>
      <c r="M15" s="1339"/>
      <c r="N15" s="1346" t="s">
        <v>1254</v>
      </c>
      <c r="O15" s="1347"/>
      <c r="P15" s="1352" t="s">
        <v>1255</v>
      </c>
      <c r="Q15" s="1353"/>
      <c r="R15" s="1353"/>
      <c r="S15" s="1353"/>
      <c r="T15" s="1353"/>
      <c r="U15" s="1353"/>
      <c r="V15" s="1353"/>
      <c r="W15" s="1353"/>
      <c r="X15" s="1353"/>
      <c r="Y15" s="1353"/>
      <c r="Z15" s="1353"/>
      <c r="AA15" s="1354"/>
      <c r="AB15" s="1236"/>
      <c r="AC15" s="1236"/>
      <c r="AD15" s="1236"/>
      <c r="AE15" s="1236"/>
      <c r="AF15" s="1236"/>
      <c r="AG15" s="1236"/>
      <c r="AH15" s="1236"/>
      <c r="AI15" s="1236"/>
      <c r="AJ15" s="1236"/>
      <c r="AK15" s="1236"/>
      <c r="AL15" s="1236"/>
      <c r="AM15" s="1236"/>
      <c r="AN15" s="1236"/>
      <c r="AO15" s="1236"/>
      <c r="AP15" s="1236"/>
      <c r="AQ15" s="1236"/>
      <c r="AR15" s="1236"/>
      <c r="AS15" s="1236"/>
      <c r="AT15" s="1236"/>
      <c r="AU15" s="1236"/>
      <c r="AV15" s="1236"/>
      <c r="AW15" s="1236"/>
      <c r="AX15" s="1236"/>
      <c r="AY15" s="1236"/>
      <c r="AZ15" s="1236"/>
      <c r="BA15" s="1236"/>
      <c r="BB15" s="1236"/>
      <c r="BC15" s="1236"/>
      <c r="BD15" s="1236"/>
      <c r="BE15" s="1236"/>
      <c r="BF15" s="1236"/>
      <c r="BG15" s="1236"/>
      <c r="BH15" s="1236"/>
      <c r="BI15" s="1236"/>
      <c r="BJ15" s="1236"/>
      <c r="BK15" s="1236"/>
      <c r="BL15" s="1236"/>
      <c r="BM15" s="1236"/>
      <c r="BN15" s="1236"/>
      <c r="BO15" s="1236"/>
      <c r="BP15" s="1236"/>
      <c r="BQ15" s="1236"/>
      <c r="BR15" s="1236"/>
      <c r="BS15" s="1236"/>
      <c r="BT15" s="1236"/>
      <c r="BU15" s="1236"/>
      <c r="BV15" s="1236"/>
      <c r="BW15" s="1236"/>
      <c r="BX15" s="1236"/>
      <c r="BY15" s="1236"/>
      <c r="BZ15" s="1236"/>
      <c r="CA15" s="1236"/>
      <c r="CB15" s="1236"/>
      <c r="CC15" s="1236"/>
      <c r="CD15" s="1236"/>
      <c r="CE15" s="1236"/>
      <c r="CF15" s="1236"/>
      <c r="CG15" s="1236"/>
      <c r="CH15" s="1236"/>
      <c r="CI15" s="1236"/>
      <c r="CJ15" s="1236"/>
      <c r="CK15" s="1236"/>
      <c r="CL15" s="1236"/>
      <c r="CM15" s="1236"/>
      <c r="CN15" s="1236"/>
      <c r="CO15" s="1236"/>
      <c r="CP15" s="1236"/>
      <c r="CQ15" s="1236"/>
      <c r="CR15" s="1236"/>
      <c r="CS15" s="1236"/>
      <c r="CT15" s="1236"/>
      <c r="CU15" s="1236"/>
      <c r="CV15" s="1236"/>
      <c r="CW15" s="1236"/>
      <c r="CX15" s="1236"/>
      <c r="CY15" s="1236"/>
      <c r="CZ15" s="1236"/>
      <c r="DA15" s="1236"/>
      <c r="DB15" s="1236"/>
      <c r="DC15" s="1236"/>
      <c r="DD15" s="1236"/>
      <c r="DE15" s="1236"/>
      <c r="DF15" s="1236"/>
      <c r="DG15" s="1236"/>
      <c r="DH15" s="1236"/>
      <c r="DI15" s="1236"/>
      <c r="DJ15" s="1236"/>
      <c r="DK15" s="1236"/>
      <c r="DL15" s="1236"/>
      <c r="DM15" s="1236"/>
      <c r="DN15" s="1236"/>
      <c r="DO15" s="1236"/>
      <c r="DP15" s="1236"/>
      <c r="DQ15" s="1236"/>
      <c r="DR15" s="1236"/>
      <c r="DS15" s="1236"/>
      <c r="DT15" s="1236"/>
      <c r="DU15" s="1236"/>
      <c r="DV15" s="1236"/>
      <c r="DW15" s="1236"/>
      <c r="DX15" s="1236"/>
      <c r="DY15" s="1236"/>
      <c r="DZ15" s="1236"/>
      <c r="EA15" s="1236"/>
      <c r="EB15" s="1236"/>
      <c r="EC15" s="1236"/>
      <c r="ED15" s="1236"/>
      <c r="EE15" s="1236"/>
      <c r="EF15" s="1236"/>
      <c r="EG15" s="1236"/>
      <c r="EH15" s="1236"/>
      <c r="EI15" s="1236"/>
      <c r="EJ15" s="1236"/>
      <c r="EK15" s="1236"/>
      <c r="EL15" s="1236"/>
      <c r="EM15" s="1236"/>
      <c r="EN15" s="1236"/>
      <c r="EO15" s="1236"/>
      <c r="EP15" s="1236"/>
      <c r="EQ15" s="1236"/>
      <c r="ER15" s="1236"/>
      <c r="ES15" s="1236"/>
      <c r="ET15" s="1236"/>
      <c r="EU15" s="1236"/>
      <c r="EV15" s="1236"/>
      <c r="EW15" s="1236"/>
      <c r="EX15" s="1236"/>
      <c r="EY15" s="1236"/>
      <c r="EZ15" s="1236"/>
      <c r="FA15" s="1236"/>
      <c r="FB15" s="1236"/>
      <c r="FC15" s="1236"/>
      <c r="FD15" s="1236"/>
      <c r="FE15" s="1236"/>
      <c r="FF15" s="1236"/>
      <c r="FG15" s="1236"/>
      <c r="FH15" s="1236"/>
      <c r="FI15" s="1236"/>
      <c r="FJ15" s="1236"/>
      <c r="FK15" s="1236"/>
      <c r="FL15" s="1236"/>
      <c r="FM15" s="1236"/>
      <c r="FN15" s="1236"/>
      <c r="FO15" s="1236"/>
      <c r="FP15" s="1236"/>
      <c r="FQ15" s="1236"/>
      <c r="FR15" s="1236"/>
      <c r="FS15" s="1236"/>
      <c r="FT15" s="1236"/>
      <c r="FU15" s="1236"/>
      <c r="FV15" s="1236"/>
      <c r="FW15" s="1236"/>
      <c r="FX15" s="1236"/>
      <c r="FY15" s="1236"/>
      <c r="FZ15" s="1236"/>
      <c r="GA15" s="1236"/>
      <c r="GB15" s="1236"/>
      <c r="GC15" s="1236"/>
      <c r="GD15" s="1236"/>
      <c r="GE15" s="1236"/>
      <c r="GF15" s="1236"/>
      <c r="GG15" s="1236"/>
      <c r="GH15" s="1236"/>
      <c r="GI15" s="1236"/>
      <c r="GJ15" s="1236"/>
      <c r="GK15" s="1236"/>
      <c r="GL15" s="1236"/>
      <c r="GM15" s="1236"/>
      <c r="GN15" s="1236"/>
      <c r="GO15" s="1236"/>
      <c r="GP15" s="1236"/>
      <c r="GQ15" s="1236"/>
      <c r="GR15" s="1236"/>
      <c r="GS15" s="1236"/>
      <c r="GT15" s="1236"/>
      <c r="GU15" s="1236"/>
      <c r="GV15" s="1236"/>
      <c r="GW15" s="1236"/>
      <c r="GX15" s="1236"/>
      <c r="GY15" s="1236"/>
      <c r="GZ15" s="1236"/>
      <c r="HA15" s="1236"/>
      <c r="HB15" s="1236"/>
      <c r="HC15" s="1236"/>
      <c r="HD15" s="1236"/>
      <c r="HE15" s="1236"/>
      <c r="HF15" s="1236"/>
      <c r="HG15" s="1236"/>
      <c r="HH15" s="1236"/>
      <c r="HI15" s="1236"/>
      <c r="HJ15" s="1236"/>
      <c r="HK15" s="1236"/>
      <c r="HL15" s="1236"/>
      <c r="HM15" s="1236"/>
      <c r="HN15" s="1236"/>
      <c r="HO15" s="1236"/>
      <c r="HP15" s="1236"/>
      <c r="HQ15" s="1236"/>
      <c r="HR15" s="1236"/>
      <c r="HS15" s="1236"/>
      <c r="HT15" s="1236"/>
      <c r="HU15" s="1236"/>
      <c r="HV15" s="1236"/>
      <c r="HW15" s="1236"/>
      <c r="HX15" s="1236"/>
      <c r="HY15" s="1236"/>
      <c r="HZ15" s="1236"/>
      <c r="IA15" s="1236"/>
      <c r="IB15" s="1236"/>
      <c r="IC15" s="1236"/>
      <c r="ID15" s="1236"/>
      <c r="IE15" s="1236"/>
      <c r="IF15" s="1236"/>
      <c r="IG15" s="1236"/>
      <c r="IH15" s="1236"/>
      <c r="II15" s="1236"/>
      <c r="IJ15" s="1236"/>
      <c r="IK15" s="1236"/>
      <c r="IL15" s="1236"/>
      <c r="IM15" s="1236"/>
      <c r="IN15" s="1236"/>
      <c r="IO15" s="1236"/>
      <c r="IP15" s="1236"/>
      <c r="IQ15" s="1236"/>
      <c r="IR15" s="1236"/>
      <c r="IS15" s="1236"/>
      <c r="IT15" s="1236"/>
      <c r="IU15" s="1236"/>
      <c r="IV15" s="1236"/>
    </row>
    <row r="16" spans="1:256" ht="15.75">
      <c r="A16" s="1323"/>
      <c r="B16" s="1326"/>
      <c r="C16" s="1331"/>
      <c r="D16" s="1332"/>
      <c r="E16" s="1333"/>
      <c r="F16" s="1340"/>
      <c r="G16" s="1341"/>
      <c r="H16" s="1341"/>
      <c r="I16" s="1341"/>
      <c r="J16" s="1341"/>
      <c r="K16" s="1341"/>
      <c r="L16" s="1341"/>
      <c r="M16" s="1342"/>
      <c r="N16" s="1348"/>
      <c r="O16" s="1349"/>
      <c r="P16" s="1355" t="s">
        <v>1256</v>
      </c>
      <c r="Q16" s="1356"/>
      <c r="R16" s="1355" t="s">
        <v>1257</v>
      </c>
      <c r="S16" s="1357"/>
      <c r="T16" s="1357"/>
      <c r="U16" s="1356"/>
      <c r="V16" s="1355" t="s">
        <v>1258</v>
      </c>
      <c r="W16" s="1357"/>
      <c r="X16" s="1357"/>
      <c r="Y16" s="1357"/>
      <c r="Z16" s="1357"/>
      <c r="AA16" s="1356"/>
      <c r="AB16" s="1236"/>
      <c r="AC16" s="1236"/>
      <c r="AD16" s="1236"/>
      <c r="AE16" s="1236"/>
      <c r="AF16" s="1236"/>
      <c r="AG16" s="1236"/>
      <c r="AH16" s="1236"/>
      <c r="AI16" s="1236"/>
      <c r="AJ16" s="1236"/>
      <c r="AK16" s="1236"/>
      <c r="AL16" s="1236"/>
      <c r="AM16" s="1236"/>
      <c r="AN16" s="1236"/>
      <c r="AO16" s="1236"/>
      <c r="AP16" s="1236"/>
      <c r="AQ16" s="1236"/>
      <c r="AR16" s="1236"/>
      <c r="AS16" s="1236"/>
      <c r="AT16" s="1236"/>
      <c r="AU16" s="1236"/>
      <c r="AV16" s="1236"/>
      <c r="AW16" s="1236"/>
      <c r="AX16" s="1236"/>
      <c r="AY16" s="1236"/>
      <c r="AZ16" s="1236"/>
      <c r="BA16" s="1236"/>
      <c r="BB16" s="1236"/>
      <c r="BC16" s="1236"/>
      <c r="BD16" s="1236"/>
      <c r="BE16" s="1236"/>
      <c r="BF16" s="1236"/>
      <c r="BG16" s="1236"/>
      <c r="BH16" s="1236"/>
      <c r="BI16" s="1236"/>
      <c r="BJ16" s="1236"/>
      <c r="BK16" s="1236"/>
      <c r="BL16" s="1236"/>
      <c r="BM16" s="1236"/>
      <c r="BN16" s="1236"/>
      <c r="BO16" s="1236"/>
      <c r="BP16" s="1236"/>
      <c r="BQ16" s="1236"/>
      <c r="BR16" s="1236"/>
      <c r="BS16" s="1236"/>
      <c r="BT16" s="1236"/>
      <c r="BU16" s="1236"/>
      <c r="BV16" s="1236"/>
      <c r="BW16" s="1236"/>
      <c r="BX16" s="1236"/>
      <c r="BY16" s="1236"/>
      <c r="BZ16" s="1236"/>
      <c r="CA16" s="1236"/>
      <c r="CB16" s="1236"/>
      <c r="CC16" s="1236"/>
      <c r="CD16" s="1236"/>
      <c r="CE16" s="1236"/>
      <c r="CF16" s="1236"/>
      <c r="CG16" s="1236"/>
      <c r="CH16" s="1236"/>
      <c r="CI16" s="1236"/>
      <c r="CJ16" s="1236"/>
      <c r="CK16" s="1236"/>
      <c r="CL16" s="1236"/>
      <c r="CM16" s="1236"/>
      <c r="CN16" s="1236"/>
      <c r="CO16" s="1236"/>
      <c r="CP16" s="1236"/>
      <c r="CQ16" s="1236"/>
      <c r="CR16" s="1236"/>
      <c r="CS16" s="1236"/>
      <c r="CT16" s="1236"/>
      <c r="CU16" s="1236"/>
      <c r="CV16" s="1236"/>
      <c r="CW16" s="1236"/>
      <c r="CX16" s="1236"/>
      <c r="CY16" s="1236"/>
      <c r="CZ16" s="1236"/>
      <c r="DA16" s="1236"/>
      <c r="DB16" s="1236"/>
      <c r="DC16" s="1236"/>
      <c r="DD16" s="1236"/>
      <c r="DE16" s="1236"/>
      <c r="DF16" s="1236"/>
      <c r="DG16" s="1236"/>
      <c r="DH16" s="1236"/>
      <c r="DI16" s="1236"/>
      <c r="DJ16" s="1236"/>
      <c r="DK16" s="1236"/>
      <c r="DL16" s="1236"/>
      <c r="DM16" s="1236"/>
      <c r="DN16" s="1236"/>
      <c r="DO16" s="1236"/>
      <c r="DP16" s="1236"/>
      <c r="DQ16" s="1236"/>
      <c r="DR16" s="1236"/>
      <c r="DS16" s="1236"/>
      <c r="DT16" s="1236"/>
      <c r="DU16" s="1236"/>
      <c r="DV16" s="1236"/>
      <c r="DW16" s="1236"/>
      <c r="DX16" s="1236"/>
      <c r="DY16" s="1236"/>
      <c r="DZ16" s="1236"/>
      <c r="EA16" s="1236"/>
      <c r="EB16" s="1236"/>
      <c r="EC16" s="1236"/>
      <c r="ED16" s="1236"/>
      <c r="EE16" s="1236"/>
      <c r="EF16" s="1236"/>
      <c r="EG16" s="1236"/>
      <c r="EH16" s="1236"/>
      <c r="EI16" s="1236"/>
      <c r="EJ16" s="1236"/>
      <c r="EK16" s="1236"/>
      <c r="EL16" s="1236"/>
      <c r="EM16" s="1236"/>
      <c r="EN16" s="1236"/>
      <c r="EO16" s="1236"/>
      <c r="EP16" s="1236"/>
      <c r="EQ16" s="1236"/>
      <c r="ER16" s="1236"/>
      <c r="ES16" s="1236"/>
      <c r="ET16" s="1236"/>
      <c r="EU16" s="1236"/>
      <c r="EV16" s="1236"/>
      <c r="EW16" s="1236"/>
      <c r="EX16" s="1236"/>
      <c r="EY16" s="1236"/>
      <c r="EZ16" s="1236"/>
      <c r="FA16" s="1236"/>
      <c r="FB16" s="1236"/>
      <c r="FC16" s="1236"/>
      <c r="FD16" s="1236"/>
      <c r="FE16" s="1236"/>
      <c r="FF16" s="1236"/>
      <c r="FG16" s="1236"/>
      <c r="FH16" s="1236"/>
      <c r="FI16" s="1236"/>
      <c r="FJ16" s="1236"/>
      <c r="FK16" s="1236"/>
      <c r="FL16" s="1236"/>
      <c r="FM16" s="1236"/>
      <c r="FN16" s="1236"/>
      <c r="FO16" s="1236"/>
      <c r="FP16" s="1236"/>
      <c r="FQ16" s="1236"/>
      <c r="FR16" s="1236"/>
      <c r="FS16" s="1236"/>
      <c r="FT16" s="1236"/>
      <c r="FU16" s="1236"/>
      <c r="FV16" s="1236"/>
      <c r="FW16" s="1236"/>
      <c r="FX16" s="1236"/>
      <c r="FY16" s="1236"/>
      <c r="FZ16" s="1236"/>
      <c r="GA16" s="1236"/>
      <c r="GB16" s="1236"/>
      <c r="GC16" s="1236"/>
      <c r="GD16" s="1236"/>
      <c r="GE16" s="1236"/>
      <c r="GF16" s="1236"/>
      <c r="GG16" s="1236"/>
      <c r="GH16" s="1236"/>
      <c r="GI16" s="1236"/>
      <c r="GJ16" s="1236"/>
      <c r="GK16" s="1236"/>
      <c r="GL16" s="1236"/>
      <c r="GM16" s="1236"/>
      <c r="GN16" s="1236"/>
      <c r="GO16" s="1236"/>
      <c r="GP16" s="1236"/>
      <c r="GQ16" s="1236"/>
      <c r="GR16" s="1236"/>
      <c r="GS16" s="1236"/>
      <c r="GT16" s="1236"/>
      <c r="GU16" s="1236"/>
      <c r="GV16" s="1236"/>
      <c r="GW16" s="1236"/>
      <c r="GX16" s="1236"/>
      <c r="GY16" s="1236"/>
      <c r="GZ16" s="1236"/>
      <c r="HA16" s="1236"/>
      <c r="HB16" s="1236"/>
      <c r="HC16" s="1236"/>
      <c r="HD16" s="1236"/>
      <c r="HE16" s="1236"/>
      <c r="HF16" s="1236"/>
      <c r="HG16" s="1236"/>
      <c r="HH16" s="1236"/>
      <c r="HI16" s="1236"/>
      <c r="HJ16" s="1236"/>
      <c r="HK16" s="1236"/>
      <c r="HL16" s="1236"/>
      <c r="HM16" s="1236"/>
      <c r="HN16" s="1236"/>
      <c r="HO16" s="1236"/>
      <c r="HP16" s="1236"/>
      <c r="HQ16" s="1236"/>
      <c r="HR16" s="1236"/>
      <c r="HS16" s="1236"/>
      <c r="HT16" s="1236"/>
      <c r="HU16" s="1236"/>
      <c r="HV16" s="1236"/>
      <c r="HW16" s="1236"/>
      <c r="HX16" s="1236"/>
      <c r="HY16" s="1236"/>
      <c r="HZ16" s="1236"/>
      <c r="IA16" s="1236"/>
      <c r="IB16" s="1236"/>
      <c r="IC16" s="1236"/>
      <c r="ID16" s="1236"/>
      <c r="IE16" s="1236"/>
      <c r="IF16" s="1236"/>
      <c r="IG16" s="1236"/>
      <c r="IH16" s="1236"/>
      <c r="II16" s="1236"/>
      <c r="IJ16" s="1236"/>
      <c r="IK16" s="1236"/>
      <c r="IL16" s="1236"/>
      <c r="IM16" s="1236"/>
      <c r="IN16" s="1236"/>
      <c r="IO16" s="1236"/>
      <c r="IP16" s="1236"/>
      <c r="IQ16" s="1236"/>
      <c r="IR16" s="1236"/>
      <c r="IS16" s="1236"/>
      <c r="IT16" s="1236"/>
      <c r="IU16" s="1236"/>
      <c r="IV16" s="1236"/>
    </row>
    <row r="17" spans="1:256" ht="241.5" customHeight="1">
      <c r="A17" s="1323"/>
      <c r="B17" s="1326"/>
      <c r="C17" s="1334"/>
      <c r="D17" s="1335"/>
      <c r="E17" s="1336"/>
      <c r="F17" s="1343"/>
      <c r="G17" s="1344"/>
      <c r="H17" s="1344"/>
      <c r="I17" s="1344"/>
      <c r="J17" s="1344"/>
      <c r="K17" s="1344"/>
      <c r="L17" s="1344"/>
      <c r="M17" s="1345"/>
      <c r="N17" s="1348"/>
      <c r="O17" s="1349"/>
      <c r="P17" s="1358" t="s">
        <v>1259</v>
      </c>
      <c r="Q17" s="1359"/>
      <c r="R17" s="1362" t="s">
        <v>1260</v>
      </c>
      <c r="S17" s="1363"/>
      <c r="T17" s="1358" t="s">
        <v>1261</v>
      </c>
      <c r="U17" s="1359"/>
      <c r="V17" s="1358" t="s">
        <v>1262</v>
      </c>
      <c r="W17" s="1359"/>
      <c r="X17" s="1358" t="s">
        <v>1263</v>
      </c>
      <c r="Y17" s="1359"/>
      <c r="Z17" s="1358" t="s">
        <v>1264</v>
      </c>
      <c r="AA17" s="1359"/>
      <c r="AB17" s="1236"/>
      <c r="AC17" s="1236"/>
      <c r="AD17" s="1236"/>
      <c r="AE17" s="1236"/>
      <c r="AF17" s="1236"/>
      <c r="AG17" s="1236"/>
      <c r="AH17" s="1236"/>
      <c r="AI17" s="1236"/>
      <c r="AJ17" s="1236"/>
      <c r="AK17" s="1236"/>
      <c r="AL17" s="1236"/>
      <c r="AM17" s="1236"/>
      <c r="AN17" s="1236"/>
      <c r="AO17" s="1236"/>
      <c r="AP17" s="1236"/>
      <c r="AQ17" s="1236"/>
      <c r="AR17" s="1236"/>
      <c r="AS17" s="1236"/>
      <c r="AT17" s="1236"/>
      <c r="AU17" s="1236"/>
      <c r="AV17" s="1236"/>
      <c r="AW17" s="1236"/>
      <c r="AX17" s="1236"/>
      <c r="AY17" s="1236"/>
      <c r="AZ17" s="1236"/>
      <c r="BA17" s="1236"/>
      <c r="BB17" s="1236"/>
      <c r="BC17" s="1236"/>
      <c r="BD17" s="1236"/>
      <c r="BE17" s="1236"/>
      <c r="BF17" s="1236"/>
      <c r="BG17" s="1236"/>
      <c r="BH17" s="1236"/>
      <c r="BI17" s="1236"/>
      <c r="BJ17" s="1236"/>
      <c r="BK17" s="1236"/>
      <c r="BL17" s="1236"/>
      <c r="BM17" s="1236"/>
      <c r="BN17" s="1236"/>
      <c r="BO17" s="1236"/>
      <c r="BP17" s="1236"/>
      <c r="BQ17" s="1236"/>
      <c r="BR17" s="1236"/>
      <c r="BS17" s="1236"/>
      <c r="BT17" s="1236"/>
      <c r="BU17" s="1236"/>
      <c r="BV17" s="1236"/>
      <c r="BW17" s="1236"/>
      <c r="BX17" s="1236"/>
      <c r="BY17" s="1236"/>
      <c r="BZ17" s="1236"/>
      <c r="CA17" s="1236"/>
      <c r="CB17" s="1236"/>
      <c r="CC17" s="1236"/>
      <c r="CD17" s="1236"/>
      <c r="CE17" s="1236"/>
      <c r="CF17" s="1236"/>
      <c r="CG17" s="1236"/>
      <c r="CH17" s="1236"/>
      <c r="CI17" s="1236"/>
      <c r="CJ17" s="1236"/>
      <c r="CK17" s="1236"/>
      <c r="CL17" s="1236"/>
      <c r="CM17" s="1236"/>
      <c r="CN17" s="1236"/>
      <c r="CO17" s="1236"/>
      <c r="CP17" s="1236"/>
      <c r="CQ17" s="1236"/>
      <c r="CR17" s="1236"/>
      <c r="CS17" s="1236"/>
      <c r="CT17" s="1236"/>
      <c r="CU17" s="1236"/>
      <c r="CV17" s="1236"/>
      <c r="CW17" s="1236"/>
      <c r="CX17" s="1236"/>
      <c r="CY17" s="1236"/>
      <c r="CZ17" s="1236"/>
      <c r="DA17" s="1236"/>
      <c r="DB17" s="1236"/>
      <c r="DC17" s="1236"/>
      <c r="DD17" s="1236"/>
      <c r="DE17" s="1236"/>
      <c r="DF17" s="1236"/>
      <c r="DG17" s="1236"/>
      <c r="DH17" s="1236"/>
      <c r="DI17" s="1236"/>
      <c r="DJ17" s="1236"/>
      <c r="DK17" s="1236"/>
      <c r="DL17" s="1236"/>
      <c r="DM17" s="1236"/>
      <c r="DN17" s="1236"/>
      <c r="DO17" s="1236"/>
      <c r="DP17" s="1236"/>
      <c r="DQ17" s="1236"/>
      <c r="DR17" s="1236"/>
      <c r="DS17" s="1236"/>
      <c r="DT17" s="1236"/>
      <c r="DU17" s="1236"/>
      <c r="DV17" s="1236"/>
      <c r="DW17" s="1236"/>
      <c r="DX17" s="1236"/>
      <c r="DY17" s="1236"/>
      <c r="DZ17" s="1236"/>
      <c r="EA17" s="1236"/>
      <c r="EB17" s="1236"/>
      <c r="EC17" s="1236"/>
      <c r="ED17" s="1236"/>
      <c r="EE17" s="1236"/>
      <c r="EF17" s="1236"/>
      <c r="EG17" s="1236"/>
      <c r="EH17" s="1236"/>
      <c r="EI17" s="1236"/>
      <c r="EJ17" s="1236"/>
      <c r="EK17" s="1236"/>
      <c r="EL17" s="1236"/>
      <c r="EM17" s="1236"/>
      <c r="EN17" s="1236"/>
      <c r="EO17" s="1236"/>
      <c r="EP17" s="1236"/>
      <c r="EQ17" s="1236"/>
      <c r="ER17" s="1236"/>
      <c r="ES17" s="1236"/>
      <c r="ET17" s="1236"/>
      <c r="EU17" s="1236"/>
      <c r="EV17" s="1236"/>
      <c r="EW17" s="1236"/>
      <c r="EX17" s="1236"/>
      <c r="EY17" s="1236"/>
      <c r="EZ17" s="1236"/>
      <c r="FA17" s="1236"/>
      <c r="FB17" s="1236"/>
      <c r="FC17" s="1236"/>
      <c r="FD17" s="1236"/>
      <c r="FE17" s="1236"/>
      <c r="FF17" s="1236"/>
      <c r="FG17" s="1236"/>
      <c r="FH17" s="1236"/>
      <c r="FI17" s="1236"/>
      <c r="FJ17" s="1236"/>
      <c r="FK17" s="1236"/>
      <c r="FL17" s="1236"/>
      <c r="FM17" s="1236"/>
      <c r="FN17" s="1236"/>
      <c r="FO17" s="1236"/>
      <c r="FP17" s="1236"/>
      <c r="FQ17" s="1236"/>
      <c r="FR17" s="1236"/>
      <c r="FS17" s="1236"/>
      <c r="FT17" s="1236"/>
      <c r="FU17" s="1236"/>
      <c r="FV17" s="1236"/>
      <c r="FW17" s="1236"/>
      <c r="FX17" s="1236"/>
      <c r="FY17" s="1236"/>
      <c r="FZ17" s="1236"/>
      <c r="GA17" s="1236"/>
      <c r="GB17" s="1236"/>
      <c r="GC17" s="1236"/>
      <c r="GD17" s="1236"/>
      <c r="GE17" s="1236"/>
      <c r="GF17" s="1236"/>
      <c r="GG17" s="1236"/>
      <c r="GH17" s="1236"/>
      <c r="GI17" s="1236"/>
      <c r="GJ17" s="1236"/>
      <c r="GK17" s="1236"/>
      <c r="GL17" s="1236"/>
      <c r="GM17" s="1236"/>
      <c r="GN17" s="1236"/>
      <c r="GO17" s="1236"/>
      <c r="GP17" s="1236"/>
      <c r="GQ17" s="1236"/>
      <c r="GR17" s="1236"/>
      <c r="GS17" s="1236"/>
      <c r="GT17" s="1236"/>
      <c r="GU17" s="1236"/>
      <c r="GV17" s="1236"/>
      <c r="GW17" s="1236"/>
      <c r="GX17" s="1236"/>
      <c r="GY17" s="1236"/>
      <c r="GZ17" s="1236"/>
      <c r="HA17" s="1236"/>
      <c r="HB17" s="1236"/>
      <c r="HC17" s="1236"/>
      <c r="HD17" s="1236"/>
      <c r="HE17" s="1236"/>
      <c r="HF17" s="1236"/>
      <c r="HG17" s="1236"/>
      <c r="HH17" s="1236"/>
      <c r="HI17" s="1236"/>
      <c r="HJ17" s="1236"/>
      <c r="HK17" s="1236"/>
      <c r="HL17" s="1236"/>
      <c r="HM17" s="1236"/>
      <c r="HN17" s="1236"/>
      <c r="HO17" s="1236"/>
      <c r="HP17" s="1236"/>
      <c r="HQ17" s="1236"/>
      <c r="HR17" s="1236"/>
      <c r="HS17" s="1236"/>
      <c r="HT17" s="1236"/>
      <c r="HU17" s="1236"/>
      <c r="HV17" s="1236"/>
      <c r="HW17" s="1236"/>
      <c r="HX17" s="1236"/>
      <c r="HY17" s="1236"/>
      <c r="HZ17" s="1236"/>
      <c r="IA17" s="1236"/>
      <c r="IB17" s="1236"/>
      <c r="IC17" s="1236"/>
      <c r="ID17" s="1236"/>
      <c r="IE17" s="1236"/>
      <c r="IF17" s="1236"/>
      <c r="IG17" s="1236"/>
      <c r="IH17" s="1236"/>
      <c r="II17" s="1236"/>
      <c r="IJ17" s="1236"/>
      <c r="IK17" s="1236"/>
      <c r="IL17" s="1236"/>
      <c r="IM17" s="1236"/>
      <c r="IN17" s="1236"/>
      <c r="IO17" s="1236"/>
      <c r="IP17" s="1236"/>
      <c r="IQ17" s="1236"/>
      <c r="IR17" s="1236"/>
      <c r="IS17" s="1236"/>
      <c r="IT17" s="1236"/>
      <c r="IU17" s="1236"/>
      <c r="IV17" s="1236"/>
    </row>
    <row r="18" spans="1:256" ht="12.75" customHeight="1">
      <c r="A18" s="1323"/>
      <c r="B18" s="1326"/>
      <c r="C18" s="1370" t="s">
        <v>1265</v>
      </c>
      <c r="D18" s="1373" t="s">
        <v>1266</v>
      </c>
      <c r="E18" s="1373" t="s">
        <v>1267</v>
      </c>
      <c r="F18" s="1375" t="s">
        <v>1268</v>
      </c>
      <c r="G18" s="1376"/>
      <c r="H18" s="1366" t="s">
        <v>1269</v>
      </c>
      <c r="I18" s="1367"/>
      <c r="J18" s="1366" t="s">
        <v>1270</v>
      </c>
      <c r="K18" s="1367"/>
      <c r="L18" s="1366" t="s">
        <v>1271</v>
      </c>
      <c r="M18" s="1367"/>
      <c r="N18" s="1350"/>
      <c r="O18" s="1351"/>
      <c r="P18" s="1360"/>
      <c r="Q18" s="1361"/>
      <c r="R18" s="1364"/>
      <c r="S18" s="1365"/>
      <c r="T18" s="1360"/>
      <c r="U18" s="1361"/>
      <c r="V18" s="1360"/>
      <c r="W18" s="1361"/>
      <c r="X18" s="1360"/>
      <c r="Y18" s="1361"/>
      <c r="Z18" s="1360"/>
      <c r="AA18" s="1361"/>
      <c r="AB18" s="1236"/>
      <c r="AC18" s="1236"/>
      <c r="AD18" s="1236"/>
      <c r="AE18" s="1236"/>
      <c r="AF18" s="1236"/>
      <c r="AG18" s="1236"/>
      <c r="AH18" s="1236"/>
      <c r="AI18" s="1236"/>
      <c r="AJ18" s="1236"/>
      <c r="AK18" s="1236"/>
      <c r="AL18" s="1236"/>
      <c r="AM18" s="1236"/>
      <c r="AN18" s="1236"/>
      <c r="AO18" s="1236"/>
      <c r="AP18" s="1236"/>
      <c r="AQ18" s="1236"/>
      <c r="AR18" s="1236"/>
      <c r="AS18" s="1236"/>
      <c r="AT18" s="1236"/>
      <c r="AU18" s="1236"/>
      <c r="AV18" s="1236"/>
      <c r="AW18" s="1236"/>
      <c r="AX18" s="1236"/>
      <c r="AY18" s="1236"/>
      <c r="AZ18" s="1236"/>
      <c r="BA18" s="1236"/>
      <c r="BB18" s="1236"/>
      <c r="BC18" s="1236"/>
      <c r="BD18" s="1236"/>
      <c r="BE18" s="1236"/>
      <c r="BF18" s="1236"/>
      <c r="BG18" s="1236"/>
      <c r="BH18" s="1236"/>
      <c r="BI18" s="1236"/>
      <c r="BJ18" s="1236"/>
      <c r="BK18" s="1236"/>
      <c r="BL18" s="1236"/>
      <c r="BM18" s="1236"/>
      <c r="BN18" s="1236"/>
      <c r="BO18" s="1236"/>
      <c r="BP18" s="1236"/>
      <c r="BQ18" s="1236"/>
      <c r="BR18" s="1236"/>
      <c r="BS18" s="1236"/>
      <c r="BT18" s="1236"/>
      <c r="BU18" s="1236"/>
      <c r="BV18" s="1236"/>
      <c r="BW18" s="1236"/>
      <c r="BX18" s="1236"/>
      <c r="BY18" s="1236"/>
      <c r="BZ18" s="1236"/>
      <c r="CA18" s="1236"/>
      <c r="CB18" s="1236"/>
      <c r="CC18" s="1236"/>
      <c r="CD18" s="1236"/>
      <c r="CE18" s="1236"/>
      <c r="CF18" s="1236"/>
      <c r="CG18" s="1236"/>
      <c r="CH18" s="1236"/>
      <c r="CI18" s="1236"/>
      <c r="CJ18" s="1236"/>
      <c r="CK18" s="1236"/>
      <c r="CL18" s="1236"/>
      <c r="CM18" s="1236"/>
      <c r="CN18" s="1236"/>
      <c r="CO18" s="1236"/>
      <c r="CP18" s="1236"/>
      <c r="CQ18" s="1236"/>
      <c r="CR18" s="1236"/>
      <c r="CS18" s="1236"/>
      <c r="CT18" s="1236"/>
      <c r="CU18" s="1236"/>
      <c r="CV18" s="1236"/>
      <c r="CW18" s="1236"/>
      <c r="CX18" s="1236"/>
      <c r="CY18" s="1236"/>
      <c r="CZ18" s="1236"/>
      <c r="DA18" s="1236"/>
      <c r="DB18" s="1236"/>
      <c r="DC18" s="1236"/>
      <c r="DD18" s="1236"/>
      <c r="DE18" s="1236"/>
      <c r="DF18" s="1236"/>
      <c r="DG18" s="1236"/>
      <c r="DH18" s="1236"/>
      <c r="DI18" s="1236"/>
      <c r="DJ18" s="1236"/>
      <c r="DK18" s="1236"/>
      <c r="DL18" s="1236"/>
      <c r="DM18" s="1236"/>
      <c r="DN18" s="1236"/>
      <c r="DO18" s="1236"/>
      <c r="DP18" s="1236"/>
      <c r="DQ18" s="1236"/>
      <c r="DR18" s="1236"/>
      <c r="DS18" s="1236"/>
      <c r="DT18" s="1236"/>
      <c r="DU18" s="1236"/>
      <c r="DV18" s="1236"/>
      <c r="DW18" s="1236"/>
      <c r="DX18" s="1236"/>
      <c r="DY18" s="1236"/>
      <c r="DZ18" s="1236"/>
      <c r="EA18" s="1236"/>
      <c r="EB18" s="1236"/>
      <c r="EC18" s="1236"/>
      <c r="ED18" s="1236"/>
      <c r="EE18" s="1236"/>
      <c r="EF18" s="1236"/>
      <c r="EG18" s="1236"/>
      <c r="EH18" s="1236"/>
      <c r="EI18" s="1236"/>
      <c r="EJ18" s="1236"/>
      <c r="EK18" s="1236"/>
      <c r="EL18" s="1236"/>
      <c r="EM18" s="1236"/>
      <c r="EN18" s="1236"/>
      <c r="EO18" s="1236"/>
      <c r="EP18" s="1236"/>
      <c r="EQ18" s="1236"/>
      <c r="ER18" s="1236"/>
      <c r="ES18" s="1236"/>
      <c r="ET18" s="1236"/>
      <c r="EU18" s="1236"/>
      <c r="EV18" s="1236"/>
      <c r="EW18" s="1236"/>
      <c r="EX18" s="1236"/>
      <c r="EY18" s="1236"/>
      <c r="EZ18" s="1236"/>
      <c r="FA18" s="1236"/>
      <c r="FB18" s="1236"/>
      <c r="FC18" s="1236"/>
      <c r="FD18" s="1236"/>
      <c r="FE18" s="1236"/>
      <c r="FF18" s="1236"/>
      <c r="FG18" s="1236"/>
      <c r="FH18" s="1236"/>
      <c r="FI18" s="1236"/>
      <c r="FJ18" s="1236"/>
      <c r="FK18" s="1236"/>
      <c r="FL18" s="1236"/>
      <c r="FM18" s="1236"/>
      <c r="FN18" s="1236"/>
      <c r="FO18" s="1236"/>
      <c r="FP18" s="1236"/>
      <c r="FQ18" s="1236"/>
      <c r="FR18" s="1236"/>
      <c r="FS18" s="1236"/>
      <c r="FT18" s="1236"/>
      <c r="FU18" s="1236"/>
      <c r="FV18" s="1236"/>
      <c r="FW18" s="1236"/>
      <c r="FX18" s="1236"/>
      <c r="FY18" s="1236"/>
      <c r="FZ18" s="1236"/>
      <c r="GA18" s="1236"/>
      <c r="GB18" s="1236"/>
      <c r="GC18" s="1236"/>
      <c r="GD18" s="1236"/>
      <c r="GE18" s="1236"/>
      <c r="GF18" s="1236"/>
      <c r="GG18" s="1236"/>
      <c r="GH18" s="1236"/>
      <c r="GI18" s="1236"/>
      <c r="GJ18" s="1236"/>
      <c r="GK18" s="1236"/>
      <c r="GL18" s="1236"/>
      <c r="GM18" s="1236"/>
      <c r="GN18" s="1236"/>
      <c r="GO18" s="1236"/>
      <c r="GP18" s="1236"/>
      <c r="GQ18" s="1236"/>
      <c r="GR18" s="1236"/>
      <c r="GS18" s="1236"/>
      <c r="GT18" s="1236"/>
      <c r="GU18" s="1236"/>
      <c r="GV18" s="1236"/>
      <c r="GW18" s="1236"/>
      <c r="GX18" s="1236"/>
      <c r="GY18" s="1236"/>
      <c r="GZ18" s="1236"/>
      <c r="HA18" s="1236"/>
      <c r="HB18" s="1236"/>
      <c r="HC18" s="1236"/>
      <c r="HD18" s="1236"/>
      <c r="HE18" s="1236"/>
      <c r="HF18" s="1236"/>
      <c r="HG18" s="1236"/>
      <c r="HH18" s="1236"/>
      <c r="HI18" s="1236"/>
      <c r="HJ18" s="1236"/>
      <c r="HK18" s="1236"/>
      <c r="HL18" s="1236"/>
      <c r="HM18" s="1236"/>
      <c r="HN18" s="1236"/>
      <c r="HO18" s="1236"/>
      <c r="HP18" s="1236"/>
      <c r="HQ18" s="1236"/>
      <c r="HR18" s="1236"/>
      <c r="HS18" s="1236"/>
      <c r="HT18" s="1236"/>
      <c r="HU18" s="1236"/>
      <c r="HV18" s="1236"/>
      <c r="HW18" s="1236"/>
      <c r="HX18" s="1236"/>
      <c r="HY18" s="1236"/>
      <c r="HZ18" s="1236"/>
      <c r="IA18" s="1236"/>
      <c r="IB18" s="1236"/>
      <c r="IC18" s="1236"/>
      <c r="ID18" s="1236"/>
      <c r="IE18" s="1236"/>
      <c r="IF18" s="1236"/>
      <c r="IG18" s="1236"/>
      <c r="IH18" s="1236"/>
      <c r="II18" s="1236"/>
      <c r="IJ18" s="1236"/>
      <c r="IK18" s="1236"/>
      <c r="IL18" s="1236"/>
      <c r="IM18" s="1236"/>
      <c r="IN18" s="1236"/>
      <c r="IO18" s="1236"/>
      <c r="IP18" s="1236"/>
      <c r="IQ18" s="1236"/>
      <c r="IR18" s="1236"/>
      <c r="IS18" s="1236"/>
      <c r="IT18" s="1236"/>
      <c r="IU18" s="1236"/>
      <c r="IV18" s="1236"/>
    </row>
    <row r="19" spans="1:256" ht="24" customHeight="1">
      <c r="A19" s="1323"/>
      <c r="B19" s="1326"/>
      <c r="C19" s="1371"/>
      <c r="D19" s="1374"/>
      <c r="E19" s="1374"/>
      <c r="F19" s="1237" t="s">
        <v>329</v>
      </c>
      <c r="G19" s="1237" t="s">
        <v>6</v>
      </c>
      <c r="H19" s="1237" t="s">
        <v>329</v>
      </c>
      <c r="I19" s="1237" t="s">
        <v>6</v>
      </c>
      <c r="J19" s="1237" t="s">
        <v>329</v>
      </c>
      <c r="K19" s="1237" t="s">
        <v>6</v>
      </c>
      <c r="L19" s="1237" t="s">
        <v>329</v>
      </c>
      <c r="M19" s="1237" t="s">
        <v>6</v>
      </c>
      <c r="N19" s="1237" t="s">
        <v>329</v>
      </c>
      <c r="O19" s="1237" t="s">
        <v>6</v>
      </c>
      <c r="P19" s="1238" t="s">
        <v>329</v>
      </c>
      <c r="Q19" s="1238" t="s">
        <v>6</v>
      </c>
      <c r="R19" s="1238" t="s">
        <v>329</v>
      </c>
      <c r="S19" s="1238" t="s">
        <v>6</v>
      </c>
      <c r="T19" s="1238" t="s">
        <v>329</v>
      </c>
      <c r="U19" s="1238" t="s">
        <v>6</v>
      </c>
      <c r="V19" s="1238" t="s">
        <v>329</v>
      </c>
      <c r="W19" s="1238" t="s">
        <v>6</v>
      </c>
      <c r="X19" s="1238" t="s">
        <v>329</v>
      </c>
      <c r="Y19" s="1238" t="s">
        <v>6</v>
      </c>
      <c r="Z19" s="1239" t="s">
        <v>329</v>
      </c>
      <c r="AA19" s="1239" t="s">
        <v>6</v>
      </c>
      <c r="AB19" s="1240"/>
      <c r="AC19" s="1240"/>
      <c r="AD19" s="1240"/>
      <c r="AE19" s="1240"/>
      <c r="AF19" s="1240"/>
      <c r="AG19" s="1240"/>
      <c r="AH19" s="1240"/>
      <c r="AI19" s="1240"/>
      <c r="AJ19" s="1240"/>
      <c r="AK19" s="1240"/>
      <c r="AL19" s="1240"/>
      <c r="AM19" s="1240"/>
      <c r="AN19" s="1240"/>
      <c r="AO19" s="1240"/>
      <c r="AP19" s="1240"/>
      <c r="AQ19" s="1240"/>
      <c r="AR19" s="1240"/>
      <c r="AS19" s="1240"/>
      <c r="AT19" s="1240"/>
      <c r="AU19" s="1240"/>
      <c r="AV19" s="1240"/>
      <c r="AW19" s="1240"/>
      <c r="AX19" s="1240"/>
      <c r="AY19" s="1240"/>
      <c r="AZ19" s="1240"/>
      <c r="BA19" s="1240"/>
      <c r="BB19" s="1240"/>
      <c r="BC19" s="1240"/>
      <c r="BD19" s="1240"/>
      <c r="BE19" s="1240"/>
      <c r="BF19" s="1240"/>
      <c r="BG19" s="1240"/>
      <c r="BH19" s="1240"/>
      <c r="BI19" s="1240"/>
      <c r="BJ19" s="1240"/>
      <c r="BK19" s="1240"/>
      <c r="BL19" s="1240"/>
      <c r="BM19" s="1240"/>
      <c r="BN19" s="1240"/>
      <c r="BO19" s="1240"/>
      <c r="BP19" s="1240"/>
      <c r="BQ19" s="1240"/>
      <c r="BR19" s="1240"/>
      <c r="BS19" s="1240"/>
      <c r="BT19" s="1240"/>
      <c r="BU19" s="1240"/>
      <c r="BV19" s="1240"/>
      <c r="BW19" s="1240"/>
      <c r="BX19" s="1240"/>
      <c r="BY19" s="1240"/>
      <c r="BZ19" s="1240"/>
      <c r="CA19" s="1240"/>
      <c r="CB19" s="1240"/>
      <c r="CC19" s="1240"/>
      <c r="CD19" s="1240"/>
      <c r="CE19" s="1240"/>
      <c r="CF19" s="1240"/>
      <c r="CG19" s="1240"/>
      <c r="CH19" s="1240"/>
      <c r="CI19" s="1240"/>
      <c r="CJ19" s="1240"/>
      <c r="CK19" s="1240"/>
      <c r="CL19" s="1240"/>
      <c r="CM19" s="1240"/>
      <c r="CN19" s="1240"/>
      <c r="CO19" s="1240"/>
      <c r="CP19" s="1240"/>
      <c r="CQ19" s="1240"/>
      <c r="CR19" s="1240"/>
      <c r="CS19" s="1240"/>
      <c r="CT19" s="1240"/>
      <c r="CU19" s="1240"/>
      <c r="CV19" s="1240"/>
      <c r="CW19" s="1240"/>
      <c r="CX19" s="1240"/>
      <c r="CY19" s="1240"/>
      <c r="CZ19" s="1240"/>
      <c r="DA19" s="1240"/>
      <c r="DB19" s="1240"/>
      <c r="DC19" s="1240"/>
      <c r="DD19" s="1240"/>
      <c r="DE19" s="1240"/>
      <c r="DF19" s="1240"/>
      <c r="DG19" s="1240"/>
      <c r="DH19" s="1240"/>
      <c r="DI19" s="1240"/>
      <c r="DJ19" s="1240"/>
      <c r="DK19" s="1240"/>
      <c r="DL19" s="1240"/>
      <c r="DM19" s="1240"/>
      <c r="DN19" s="1240"/>
      <c r="DO19" s="1240"/>
      <c r="DP19" s="1240"/>
      <c r="DQ19" s="1240"/>
      <c r="DR19" s="1240"/>
      <c r="DS19" s="1240"/>
      <c r="DT19" s="1240"/>
      <c r="DU19" s="1240"/>
      <c r="DV19" s="1240"/>
      <c r="DW19" s="1240"/>
      <c r="DX19" s="1240"/>
      <c r="DY19" s="1240"/>
      <c r="DZ19" s="1240"/>
      <c r="EA19" s="1240"/>
      <c r="EB19" s="1240"/>
      <c r="EC19" s="1240"/>
      <c r="ED19" s="1240"/>
      <c r="EE19" s="1240"/>
      <c r="EF19" s="1240"/>
      <c r="EG19" s="1240"/>
      <c r="EH19" s="1240"/>
      <c r="EI19" s="1240"/>
      <c r="EJ19" s="1240"/>
      <c r="EK19" s="1240"/>
      <c r="EL19" s="1240"/>
      <c r="EM19" s="1240"/>
      <c r="EN19" s="1240"/>
      <c r="EO19" s="1240"/>
      <c r="EP19" s="1240"/>
      <c r="EQ19" s="1240"/>
      <c r="ER19" s="1240"/>
      <c r="ES19" s="1240"/>
      <c r="ET19" s="1240"/>
      <c r="EU19" s="1240"/>
      <c r="EV19" s="1240"/>
      <c r="EW19" s="1240"/>
      <c r="EX19" s="1240"/>
      <c r="EY19" s="1240"/>
      <c r="EZ19" s="1240"/>
      <c r="FA19" s="1240"/>
      <c r="FB19" s="1240"/>
      <c r="FC19" s="1240"/>
      <c r="FD19" s="1240"/>
      <c r="FE19" s="1240"/>
      <c r="FF19" s="1240"/>
      <c r="FG19" s="1240"/>
      <c r="FH19" s="1240"/>
      <c r="FI19" s="1240"/>
      <c r="FJ19" s="1240"/>
      <c r="FK19" s="1240"/>
      <c r="FL19" s="1240"/>
      <c r="FM19" s="1240"/>
      <c r="FN19" s="1240"/>
      <c r="FO19" s="1240"/>
      <c r="FP19" s="1240"/>
      <c r="FQ19" s="1240"/>
      <c r="FR19" s="1240"/>
      <c r="FS19" s="1240"/>
      <c r="FT19" s="1240"/>
      <c r="FU19" s="1240"/>
      <c r="FV19" s="1240"/>
      <c r="FW19" s="1240"/>
      <c r="FX19" s="1240"/>
      <c r="FY19" s="1240"/>
      <c r="FZ19" s="1240"/>
      <c r="GA19" s="1240"/>
      <c r="GB19" s="1240"/>
      <c r="GC19" s="1240"/>
      <c r="GD19" s="1240"/>
      <c r="GE19" s="1240"/>
      <c r="GF19" s="1240"/>
      <c r="GG19" s="1240"/>
      <c r="GH19" s="1240"/>
      <c r="GI19" s="1240"/>
      <c r="GJ19" s="1240"/>
      <c r="GK19" s="1240"/>
      <c r="GL19" s="1240"/>
      <c r="GM19" s="1240"/>
      <c r="GN19" s="1240"/>
      <c r="GO19" s="1240"/>
      <c r="GP19" s="1240"/>
      <c r="GQ19" s="1240"/>
      <c r="GR19" s="1240"/>
      <c r="GS19" s="1240"/>
      <c r="GT19" s="1240"/>
      <c r="GU19" s="1240"/>
      <c r="GV19" s="1240"/>
      <c r="GW19" s="1240"/>
      <c r="GX19" s="1240"/>
      <c r="GY19" s="1240"/>
      <c r="GZ19" s="1240"/>
      <c r="HA19" s="1240"/>
      <c r="HB19" s="1240"/>
      <c r="HC19" s="1240"/>
      <c r="HD19" s="1240"/>
      <c r="HE19" s="1240"/>
      <c r="HF19" s="1240"/>
      <c r="HG19" s="1240"/>
      <c r="HH19" s="1240"/>
      <c r="HI19" s="1240"/>
      <c r="HJ19" s="1240"/>
      <c r="HK19" s="1240"/>
      <c r="HL19" s="1240"/>
      <c r="HM19" s="1240"/>
      <c r="HN19" s="1240"/>
      <c r="HO19" s="1240"/>
      <c r="HP19" s="1240"/>
      <c r="HQ19" s="1240"/>
      <c r="HR19" s="1240"/>
      <c r="HS19" s="1240"/>
      <c r="HT19" s="1240"/>
      <c r="HU19" s="1240"/>
      <c r="HV19" s="1240"/>
      <c r="HW19" s="1240"/>
      <c r="HX19" s="1240"/>
      <c r="HY19" s="1240"/>
      <c r="HZ19" s="1240"/>
      <c r="IA19" s="1240"/>
      <c r="IB19" s="1240"/>
      <c r="IC19" s="1240"/>
      <c r="ID19" s="1240"/>
      <c r="IE19" s="1240"/>
      <c r="IF19" s="1240"/>
      <c r="IG19" s="1240"/>
      <c r="IH19" s="1240"/>
      <c r="II19" s="1240"/>
      <c r="IJ19" s="1240"/>
      <c r="IK19" s="1240"/>
      <c r="IL19" s="1240"/>
      <c r="IM19" s="1240"/>
      <c r="IN19" s="1240"/>
      <c r="IO19" s="1240"/>
      <c r="IP19" s="1240"/>
      <c r="IQ19" s="1240"/>
      <c r="IR19" s="1240"/>
      <c r="IS19" s="1240"/>
      <c r="IT19" s="1240"/>
      <c r="IU19" s="1240"/>
      <c r="IV19" s="1240"/>
    </row>
    <row r="20" spans="1:256" ht="24">
      <c r="A20" s="1324"/>
      <c r="B20" s="1327"/>
      <c r="C20" s="1372"/>
      <c r="D20" s="1241" t="s">
        <v>1272</v>
      </c>
      <c r="E20" s="1241" t="s">
        <v>1272</v>
      </c>
      <c r="F20" s="1237" t="s">
        <v>46</v>
      </c>
      <c r="G20" s="1237" t="s">
        <v>46</v>
      </c>
      <c r="H20" s="1237" t="s">
        <v>46</v>
      </c>
      <c r="I20" s="1237" t="s">
        <v>46</v>
      </c>
      <c r="J20" s="1237" t="s">
        <v>46</v>
      </c>
      <c r="K20" s="1237" t="s">
        <v>46</v>
      </c>
      <c r="L20" s="1237" t="s">
        <v>46</v>
      </c>
      <c r="M20" s="1237" t="s">
        <v>46</v>
      </c>
      <c r="N20" s="1242" t="s">
        <v>46</v>
      </c>
      <c r="O20" s="1242" t="s">
        <v>46</v>
      </c>
      <c r="P20" s="1242" t="s">
        <v>266</v>
      </c>
      <c r="Q20" s="1242" t="s">
        <v>266</v>
      </c>
      <c r="R20" s="1242" t="s">
        <v>23</v>
      </c>
      <c r="S20" s="1242" t="s">
        <v>23</v>
      </c>
      <c r="T20" s="1242" t="s">
        <v>23</v>
      </c>
      <c r="U20" s="1242" t="s">
        <v>23</v>
      </c>
      <c r="V20" s="1242" t="s">
        <v>23</v>
      </c>
      <c r="W20" s="1242" t="s">
        <v>23</v>
      </c>
      <c r="X20" s="1242" t="s">
        <v>1273</v>
      </c>
      <c r="Y20" s="1242" t="s">
        <v>1273</v>
      </c>
      <c r="Z20" s="1242" t="s">
        <v>1273</v>
      </c>
      <c r="AA20" s="1242" t="s">
        <v>1273</v>
      </c>
      <c r="AB20" s="1240"/>
      <c r="AC20" s="1240"/>
      <c r="AD20" s="1240"/>
      <c r="AE20" s="1240"/>
      <c r="AF20" s="1240"/>
      <c r="AG20" s="1240"/>
      <c r="AH20" s="1240"/>
      <c r="AI20" s="1240"/>
      <c r="AJ20" s="1240"/>
      <c r="AK20" s="1240"/>
      <c r="AL20" s="1240"/>
      <c r="AM20" s="1240"/>
      <c r="AN20" s="1240"/>
      <c r="AO20" s="1240"/>
      <c r="AP20" s="1240"/>
      <c r="AQ20" s="1240"/>
      <c r="AR20" s="1240"/>
      <c r="AS20" s="1240"/>
      <c r="AT20" s="1240"/>
      <c r="AU20" s="1240"/>
      <c r="AV20" s="1240"/>
      <c r="AW20" s="1240"/>
      <c r="AX20" s="1240"/>
      <c r="AY20" s="1240"/>
      <c r="AZ20" s="1240"/>
      <c r="BA20" s="1240"/>
      <c r="BB20" s="1240"/>
      <c r="BC20" s="1240"/>
      <c r="BD20" s="1240"/>
      <c r="BE20" s="1240"/>
      <c r="BF20" s="1240"/>
      <c r="BG20" s="1240"/>
      <c r="BH20" s="1240"/>
      <c r="BI20" s="1240"/>
      <c r="BJ20" s="1240"/>
      <c r="BK20" s="1240"/>
      <c r="BL20" s="1240"/>
      <c r="BM20" s="1240"/>
      <c r="BN20" s="1240"/>
      <c r="BO20" s="1240"/>
      <c r="BP20" s="1240"/>
      <c r="BQ20" s="1240"/>
      <c r="BR20" s="1240"/>
      <c r="BS20" s="1240"/>
      <c r="BT20" s="1240"/>
      <c r="BU20" s="1240"/>
      <c r="BV20" s="1240"/>
      <c r="BW20" s="1240"/>
      <c r="BX20" s="1240"/>
      <c r="BY20" s="1240"/>
      <c r="BZ20" s="1240"/>
      <c r="CA20" s="1240"/>
      <c r="CB20" s="1240"/>
      <c r="CC20" s="1240"/>
      <c r="CD20" s="1240"/>
      <c r="CE20" s="1240"/>
      <c r="CF20" s="1240"/>
      <c r="CG20" s="1240"/>
      <c r="CH20" s="1240"/>
      <c r="CI20" s="1240"/>
      <c r="CJ20" s="1240"/>
      <c r="CK20" s="1240"/>
      <c r="CL20" s="1240"/>
      <c r="CM20" s="1240"/>
      <c r="CN20" s="1240"/>
      <c r="CO20" s="1240"/>
      <c r="CP20" s="1240"/>
      <c r="CQ20" s="1240"/>
      <c r="CR20" s="1240"/>
      <c r="CS20" s="1240"/>
      <c r="CT20" s="1240"/>
      <c r="CU20" s="1240"/>
      <c r="CV20" s="1240"/>
      <c r="CW20" s="1240"/>
      <c r="CX20" s="1240"/>
      <c r="CY20" s="1240"/>
      <c r="CZ20" s="1240"/>
      <c r="DA20" s="1240"/>
      <c r="DB20" s="1240"/>
      <c r="DC20" s="1240"/>
      <c r="DD20" s="1240"/>
      <c r="DE20" s="1240"/>
      <c r="DF20" s="1240"/>
      <c r="DG20" s="1240"/>
      <c r="DH20" s="1240"/>
      <c r="DI20" s="1240"/>
      <c r="DJ20" s="1240"/>
      <c r="DK20" s="1240"/>
      <c r="DL20" s="1240"/>
      <c r="DM20" s="1240"/>
      <c r="DN20" s="1240"/>
      <c r="DO20" s="1240"/>
      <c r="DP20" s="1240"/>
      <c r="DQ20" s="1240"/>
      <c r="DR20" s="1240"/>
      <c r="DS20" s="1240"/>
      <c r="DT20" s="1240"/>
      <c r="DU20" s="1240"/>
      <c r="DV20" s="1240"/>
      <c r="DW20" s="1240"/>
      <c r="DX20" s="1240"/>
      <c r="DY20" s="1240"/>
      <c r="DZ20" s="1240"/>
      <c r="EA20" s="1240"/>
      <c r="EB20" s="1240"/>
      <c r="EC20" s="1240"/>
      <c r="ED20" s="1240"/>
      <c r="EE20" s="1240"/>
      <c r="EF20" s="1240"/>
      <c r="EG20" s="1240"/>
      <c r="EH20" s="1240"/>
      <c r="EI20" s="1240"/>
      <c r="EJ20" s="1240"/>
      <c r="EK20" s="1240"/>
      <c r="EL20" s="1240"/>
      <c r="EM20" s="1240"/>
      <c r="EN20" s="1240"/>
      <c r="EO20" s="1240"/>
      <c r="EP20" s="1240"/>
      <c r="EQ20" s="1240"/>
      <c r="ER20" s="1240"/>
      <c r="ES20" s="1240"/>
      <c r="ET20" s="1240"/>
      <c r="EU20" s="1240"/>
      <c r="EV20" s="1240"/>
      <c r="EW20" s="1240"/>
      <c r="EX20" s="1240"/>
      <c r="EY20" s="1240"/>
      <c r="EZ20" s="1240"/>
      <c r="FA20" s="1240"/>
      <c r="FB20" s="1240"/>
      <c r="FC20" s="1240"/>
      <c r="FD20" s="1240"/>
      <c r="FE20" s="1240"/>
      <c r="FF20" s="1240"/>
      <c r="FG20" s="1240"/>
      <c r="FH20" s="1240"/>
      <c r="FI20" s="1240"/>
      <c r="FJ20" s="1240"/>
      <c r="FK20" s="1240"/>
      <c r="FL20" s="1240"/>
      <c r="FM20" s="1240"/>
      <c r="FN20" s="1240"/>
      <c r="FO20" s="1240"/>
      <c r="FP20" s="1240"/>
      <c r="FQ20" s="1240"/>
      <c r="FR20" s="1240"/>
      <c r="FS20" s="1240"/>
      <c r="FT20" s="1240"/>
      <c r="FU20" s="1240"/>
      <c r="FV20" s="1240"/>
      <c r="FW20" s="1240"/>
      <c r="FX20" s="1240"/>
      <c r="FY20" s="1240"/>
      <c r="FZ20" s="1240"/>
      <c r="GA20" s="1240"/>
      <c r="GB20" s="1240"/>
      <c r="GC20" s="1240"/>
      <c r="GD20" s="1240"/>
      <c r="GE20" s="1240"/>
      <c r="GF20" s="1240"/>
      <c r="GG20" s="1240"/>
      <c r="GH20" s="1240"/>
      <c r="GI20" s="1240"/>
      <c r="GJ20" s="1240"/>
      <c r="GK20" s="1240"/>
      <c r="GL20" s="1240"/>
      <c r="GM20" s="1240"/>
      <c r="GN20" s="1240"/>
      <c r="GO20" s="1240"/>
      <c r="GP20" s="1240"/>
      <c r="GQ20" s="1240"/>
      <c r="GR20" s="1240"/>
      <c r="GS20" s="1240"/>
      <c r="GT20" s="1240"/>
      <c r="GU20" s="1240"/>
      <c r="GV20" s="1240"/>
      <c r="GW20" s="1240"/>
      <c r="GX20" s="1240"/>
      <c r="GY20" s="1240"/>
      <c r="GZ20" s="1240"/>
      <c r="HA20" s="1240"/>
      <c r="HB20" s="1240"/>
      <c r="HC20" s="1240"/>
      <c r="HD20" s="1240"/>
      <c r="HE20" s="1240"/>
      <c r="HF20" s="1240"/>
      <c r="HG20" s="1240"/>
      <c r="HH20" s="1240"/>
      <c r="HI20" s="1240"/>
      <c r="HJ20" s="1240"/>
      <c r="HK20" s="1240"/>
      <c r="HL20" s="1240"/>
      <c r="HM20" s="1240"/>
      <c r="HN20" s="1240"/>
      <c r="HO20" s="1240"/>
      <c r="HP20" s="1240"/>
      <c r="HQ20" s="1240"/>
      <c r="HR20" s="1240"/>
      <c r="HS20" s="1240"/>
      <c r="HT20" s="1240"/>
      <c r="HU20" s="1240"/>
      <c r="HV20" s="1240"/>
      <c r="HW20" s="1240"/>
      <c r="HX20" s="1240"/>
      <c r="HY20" s="1240"/>
      <c r="HZ20" s="1240"/>
      <c r="IA20" s="1240"/>
      <c r="IB20" s="1240"/>
      <c r="IC20" s="1240"/>
      <c r="ID20" s="1240"/>
      <c r="IE20" s="1240"/>
      <c r="IF20" s="1240"/>
      <c r="IG20" s="1240"/>
      <c r="IH20" s="1240"/>
      <c r="II20" s="1240"/>
      <c r="IJ20" s="1240"/>
      <c r="IK20" s="1240"/>
      <c r="IL20" s="1240"/>
      <c r="IM20" s="1240"/>
      <c r="IN20" s="1240"/>
      <c r="IO20" s="1240"/>
      <c r="IP20" s="1240"/>
      <c r="IQ20" s="1240"/>
      <c r="IR20" s="1240"/>
      <c r="IS20" s="1240"/>
      <c r="IT20" s="1240"/>
      <c r="IU20" s="1240"/>
      <c r="IV20" s="1240"/>
    </row>
    <row r="21" spans="1:256" ht="12.75">
      <c r="A21" s="1243">
        <v>1</v>
      </c>
      <c r="B21" s="1244">
        <v>2</v>
      </c>
      <c r="C21" s="1245">
        <v>3</v>
      </c>
      <c r="D21" s="1245">
        <v>4</v>
      </c>
      <c r="E21" s="1245">
        <v>5</v>
      </c>
      <c r="F21" s="1245">
        <v>6</v>
      </c>
      <c r="G21" s="1245">
        <f>F21+1</f>
        <v>7</v>
      </c>
      <c r="H21" s="1245">
        <f aca="true" t="shared" si="0" ref="H21:AA21">G21+1</f>
        <v>8</v>
      </c>
      <c r="I21" s="1245">
        <f t="shared" si="0"/>
        <v>9</v>
      </c>
      <c r="J21" s="1245">
        <f t="shared" si="0"/>
        <v>10</v>
      </c>
      <c r="K21" s="1245">
        <f t="shared" si="0"/>
        <v>11</v>
      </c>
      <c r="L21" s="1245">
        <f t="shared" si="0"/>
        <v>12</v>
      </c>
      <c r="M21" s="1245">
        <f t="shared" si="0"/>
        <v>13</v>
      </c>
      <c r="N21" s="1245">
        <f t="shared" si="0"/>
        <v>14</v>
      </c>
      <c r="O21" s="1245">
        <f t="shared" si="0"/>
        <v>15</v>
      </c>
      <c r="P21" s="1245">
        <f t="shared" si="0"/>
        <v>16</v>
      </c>
      <c r="Q21" s="1245">
        <f t="shared" si="0"/>
        <v>17</v>
      </c>
      <c r="R21" s="1245">
        <f t="shared" si="0"/>
        <v>18</v>
      </c>
      <c r="S21" s="1245">
        <f t="shared" si="0"/>
        <v>19</v>
      </c>
      <c r="T21" s="1245">
        <f t="shared" si="0"/>
        <v>20</v>
      </c>
      <c r="U21" s="1245">
        <f t="shared" si="0"/>
        <v>21</v>
      </c>
      <c r="V21" s="1245">
        <f t="shared" si="0"/>
        <v>22</v>
      </c>
      <c r="W21" s="1245">
        <f t="shared" si="0"/>
        <v>23</v>
      </c>
      <c r="X21" s="1245">
        <f t="shared" si="0"/>
        <v>24</v>
      </c>
      <c r="Y21" s="1245">
        <f t="shared" si="0"/>
        <v>25</v>
      </c>
      <c r="Z21" s="1245">
        <f t="shared" si="0"/>
        <v>26</v>
      </c>
      <c r="AA21" s="1245">
        <f t="shared" si="0"/>
        <v>27</v>
      </c>
      <c r="AB21" s="1240"/>
      <c r="AC21" s="1240"/>
      <c r="AD21" s="1240"/>
      <c r="AE21" s="1240"/>
      <c r="AF21" s="1240"/>
      <c r="AG21" s="1240"/>
      <c r="AH21" s="1240"/>
      <c r="AI21" s="1240"/>
      <c r="AJ21" s="1240"/>
      <c r="AK21" s="1240"/>
      <c r="AL21" s="1240"/>
      <c r="AM21" s="1240"/>
      <c r="AN21" s="1240"/>
      <c r="AO21" s="1240"/>
      <c r="AP21" s="1240"/>
      <c r="AQ21" s="1240"/>
      <c r="AR21" s="1240"/>
      <c r="AS21" s="1240"/>
      <c r="AT21" s="1240"/>
      <c r="AU21" s="1240"/>
      <c r="AV21" s="1240"/>
      <c r="AW21" s="1240"/>
      <c r="AX21" s="1240"/>
      <c r="AY21" s="1240"/>
      <c r="AZ21" s="1240"/>
      <c r="BA21" s="1240"/>
      <c r="BB21" s="1240"/>
      <c r="BC21" s="1240"/>
      <c r="BD21" s="1240"/>
      <c r="BE21" s="1240"/>
      <c r="BF21" s="1240"/>
      <c r="BG21" s="1240"/>
      <c r="BH21" s="1240"/>
      <c r="BI21" s="1240"/>
      <c r="BJ21" s="1240"/>
      <c r="BK21" s="1240"/>
      <c r="BL21" s="1240"/>
      <c r="BM21" s="1240"/>
      <c r="BN21" s="1240"/>
      <c r="BO21" s="1240"/>
      <c r="BP21" s="1240"/>
      <c r="BQ21" s="1240"/>
      <c r="BR21" s="1240"/>
      <c r="BS21" s="1240"/>
      <c r="BT21" s="1240"/>
      <c r="BU21" s="1240"/>
      <c r="BV21" s="1240"/>
      <c r="BW21" s="1240"/>
      <c r="BX21" s="1240"/>
      <c r="BY21" s="1240"/>
      <c r="BZ21" s="1240"/>
      <c r="CA21" s="1240"/>
      <c r="CB21" s="1240"/>
      <c r="CC21" s="1240"/>
      <c r="CD21" s="1240"/>
      <c r="CE21" s="1240"/>
      <c r="CF21" s="1240"/>
      <c r="CG21" s="1240"/>
      <c r="CH21" s="1240"/>
      <c r="CI21" s="1240"/>
      <c r="CJ21" s="1240"/>
      <c r="CK21" s="1240"/>
      <c r="CL21" s="1240"/>
      <c r="CM21" s="1240"/>
      <c r="CN21" s="1240"/>
      <c r="CO21" s="1240"/>
      <c r="CP21" s="1240"/>
      <c r="CQ21" s="1240"/>
      <c r="CR21" s="1240"/>
      <c r="CS21" s="1240"/>
      <c r="CT21" s="1240"/>
      <c r="CU21" s="1240"/>
      <c r="CV21" s="1240"/>
      <c r="CW21" s="1240"/>
      <c r="CX21" s="1240"/>
      <c r="CY21" s="1240"/>
      <c r="CZ21" s="1240"/>
      <c r="DA21" s="1240"/>
      <c r="DB21" s="1240"/>
      <c r="DC21" s="1240"/>
      <c r="DD21" s="1240"/>
      <c r="DE21" s="1240"/>
      <c r="DF21" s="1240"/>
      <c r="DG21" s="1240"/>
      <c r="DH21" s="1240"/>
      <c r="DI21" s="1240"/>
      <c r="DJ21" s="1240"/>
      <c r="DK21" s="1240"/>
      <c r="DL21" s="1240"/>
      <c r="DM21" s="1240"/>
      <c r="DN21" s="1240"/>
      <c r="DO21" s="1240"/>
      <c r="DP21" s="1240"/>
      <c r="DQ21" s="1240"/>
      <c r="DR21" s="1240"/>
      <c r="DS21" s="1240"/>
      <c r="DT21" s="1240"/>
      <c r="DU21" s="1240"/>
      <c r="DV21" s="1240"/>
      <c r="DW21" s="1240"/>
      <c r="DX21" s="1240"/>
      <c r="DY21" s="1240"/>
      <c r="DZ21" s="1240"/>
      <c r="EA21" s="1240"/>
      <c r="EB21" s="1240"/>
      <c r="EC21" s="1240"/>
      <c r="ED21" s="1240"/>
      <c r="EE21" s="1240"/>
      <c r="EF21" s="1240"/>
      <c r="EG21" s="1240"/>
      <c r="EH21" s="1240"/>
      <c r="EI21" s="1240"/>
      <c r="EJ21" s="1240"/>
      <c r="EK21" s="1240"/>
      <c r="EL21" s="1240"/>
      <c r="EM21" s="1240"/>
      <c r="EN21" s="1240"/>
      <c r="EO21" s="1240"/>
      <c r="EP21" s="1240"/>
      <c r="EQ21" s="1240"/>
      <c r="ER21" s="1240"/>
      <c r="ES21" s="1240"/>
      <c r="ET21" s="1240"/>
      <c r="EU21" s="1240"/>
      <c r="EV21" s="1240"/>
      <c r="EW21" s="1240"/>
      <c r="EX21" s="1240"/>
      <c r="EY21" s="1240"/>
      <c r="EZ21" s="1240"/>
      <c r="FA21" s="1240"/>
      <c r="FB21" s="1240"/>
      <c r="FC21" s="1240"/>
      <c r="FD21" s="1240"/>
      <c r="FE21" s="1240"/>
      <c r="FF21" s="1240"/>
      <c r="FG21" s="1240"/>
      <c r="FH21" s="1240"/>
      <c r="FI21" s="1240"/>
      <c r="FJ21" s="1240"/>
      <c r="FK21" s="1240"/>
      <c r="FL21" s="1240"/>
      <c r="FM21" s="1240"/>
      <c r="FN21" s="1240"/>
      <c r="FO21" s="1240"/>
      <c r="FP21" s="1240"/>
      <c r="FQ21" s="1240"/>
      <c r="FR21" s="1240"/>
      <c r="FS21" s="1240"/>
      <c r="FT21" s="1240"/>
      <c r="FU21" s="1240"/>
      <c r="FV21" s="1240"/>
      <c r="FW21" s="1240"/>
      <c r="FX21" s="1240"/>
      <c r="FY21" s="1240"/>
      <c r="FZ21" s="1240"/>
      <c r="GA21" s="1240"/>
      <c r="GB21" s="1240"/>
      <c r="GC21" s="1240"/>
      <c r="GD21" s="1240"/>
      <c r="GE21" s="1240"/>
      <c r="GF21" s="1240"/>
      <c r="GG21" s="1240"/>
      <c r="GH21" s="1240"/>
      <c r="GI21" s="1240"/>
      <c r="GJ21" s="1240"/>
      <c r="GK21" s="1240"/>
      <c r="GL21" s="1240"/>
      <c r="GM21" s="1240"/>
      <c r="GN21" s="1240"/>
      <c r="GO21" s="1240"/>
      <c r="GP21" s="1240"/>
      <c r="GQ21" s="1240"/>
      <c r="GR21" s="1240"/>
      <c r="GS21" s="1240"/>
      <c r="GT21" s="1240"/>
      <c r="GU21" s="1240"/>
      <c r="GV21" s="1240"/>
      <c r="GW21" s="1240"/>
      <c r="GX21" s="1240"/>
      <c r="GY21" s="1240"/>
      <c r="GZ21" s="1240"/>
      <c r="HA21" s="1240"/>
      <c r="HB21" s="1240"/>
      <c r="HC21" s="1240"/>
      <c r="HD21" s="1240"/>
      <c r="HE21" s="1240"/>
      <c r="HF21" s="1240"/>
      <c r="HG21" s="1240"/>
      <c r="HH21" s="1240"/>
      <c r="HI21" s="1240"/>
      <c r="HJ21" s="1240"/>
      <c r="HK21" s="1240"/>
      <c r="HL21" s="1240"/>
      <c r="HM21" s="1240"/>
      <c r="HN21" s="1240"/>
      <c r="HO21" s="1240"/>
      <c r="HP21" s="1240"/>
      <c r="HQ21" s="1240"/>
      <c r="HR21" s="1240"/>
      <c r="HS21" s="1240"/>
      <c r="HT21" s="1240"/>
      <c r="HU21" s="1240"/>
      <c r="HV21" s="1240"/>
      <c r="HW21" s="1240"/>
      <c r="HX21" s="1240"/>
      <c r="HY21" s="1240"/>
      <c r="HZ21" s="1240"/>
      <c r="IA21" s="1240"/>
      <c r="IB21" s="1240"/>
      <c r="IC21" s="1240"/>
      <c r="ID21" s="1240"/>
      <c r="IE21" s="1240"/>
      <c r="IF21" s="1240"/>
      <c r="IG21" s="1240"/>
      <c r="IH21" s="1240"/>
      <c r="II21" s="1240"/>
      <c r="IJ21" s="1240"/>
      <c r="IK21" s="1240"/>
      <c r="IL21" s="1240"/>
      <c r="IM21" s="1240"/>
      <c r="IN21" s="1240"/>
      <c r="IO21" s="1240"/>
      <c r="IP21" s="1240"/>
      <c r="IQ21" s="1240"/>
      <c r="IR21" s="1240"/>
      <c r="IS21" s="1240"/>
      <c r="IT21" s="1240"/>
      <c r="IU21" s="1240"/>
      <c r="IV21" s="1240"/>
    </row>
    <row r="22" spans="1:256" ht="12.75">
      <c r="A22" s="1246" t="s">
        <v>280</v>
      </c>
      <c r="B22" s="1247" t="s">
        <v>1330</v>
      </c>
      <c r="C22" s="1248" t="s">
        <v>1331</v>
      </c>
      <c r="D22" s="1248">
        <v>1</v>
      </c>
      <c r="E22" s="1248"/>
      <c r="F22" s="1249"/>
      <c r="G22" s="1249"/>
      <c r="H22" s="1249">
        <v>14.5</v>
      </c>
      <c r="I22" s="1249"/>
      <c r="J22" s="1249"/>
      <c r="K22" s="1249"/>
      <c r="L22" s="1295">
        <v>38</v>
      </c>
      <c r="M22" s="1295">
        <f>51.8</f>
        <v>51.8</v>
      </c>
      <c r="N22" s="1250">
        <f>F22+H22+J22+L22</f>
        <v>52.5</v>
      </c>
      <c r="O22" s="1250">
        <f>G22+I22+K22+M22</f>
        <v>51.8</v>
      </c>
      <c r="P22" s="1251"/>
      <c r="Q22" s="1251"/>
      <c r="R22" s="1251"/>
      <c r="S22" s="1251"/>
      <c r="T22" s="1251"/>
      <c r="U22" s="1251"/>
      <c r="V22" s="1296">
        <v>2.61</v>
      </c>
      <c r="W22" s="1296">
        <f>25</f>
        <v>25</v>
      </c>
      <c r="X22" s="1296">
        <v>0.84</v>
      </c>
      <c r="Y22" s="1296">
        <v>0.84</v>
      </c>
      <c r="Z22" s="1296">
        <v>0.77</v>
      </c>
      <c r="AA22" s="1296">
        <v>0.77</v>
      </c>
      <c r="AB22" s="1252"/>
      <c r="AC22" s="1252"/>
      <c r="AD22" s="1252"/>
      <c r="AE22" s="1252"/>
      <c r="AF22" s="1252"/>
      <c r="AG22" s="1252"/>
      <c r="AH22" s="1252"/>
      <c r="AI22" s="1252"/>
      <c r="AJ22" s="1252"/>
      <c r="AK22" s="1252"/>
      <c r="AL22" s="1252"/>
      <c r="AM22" s="1252"/>
      <c r="AN22" s="1252"/>
      <c r="AO22" s="1252"/>
      <c r="AP22" s="1252"/>
      <c r="AQ22" s="1252"/>
      <c r="AR22" s="1252"/>
      <c r="AS22" s="1252"/>
      <c r="AT22" s="1252"/>
      <c r="AU22" s="1252"/>
      <c r="AV22" s="1252"/>
      <c r="AW22" s="1252"/>
      <c r="AX22" s="1252"/>
      <c r="AY22" s="1252"/>
      <c r="AZ22" s="1252"/>
      <c r="BA22" s="1252"/>
      <c r="BB22" s="1252"/>
      <c r="BC22" s="1252"/>
      <c r="BD22" s="1252"/>
      <c r="BE22" s="1252"/>
      <c r="BF22" s="1252"/>
      <c r="BG22" s="1252"/>
      <c r="BH22" s="1252"/>
      <c r="BI22" s="1252"/>
      <c r="BJ22" s="1252"/>
      <c r="BK22" s="1252"/>
      <c r="BL22" s="1252"/>
      <c r="BM22" s="1252"/>
      <c r="BN22" s="1252"/>
      <c r="BO22" s="1252"/>
      <c r="BP22" s="1252"/>
      <c r="BQ22" s="1252"/>
      <c r="BR22" s="1252"/>
      <c r="BS22" s="1252"/>
      <c r="BT22" s="1252"/>
      <c r="BU22" s="1252"/>
      <c r="BV22" s="1252"/>
      <c r="BW22" s="1252"/>
      <c r="BX22" s="1252"/>
      <c r="BY22" s="1252"/>
      <c r="BZ22" s="1252"/>
      <c r="CA22" s="1252"/>
      <c r="CB22" s="1252"/>
      <c r="CC22" s="1252"/>
      <c r="CD22" s="1252"/>
      <c r="CE22" s="1252"/>
      <c r="CF22" s="1252"/>
      <c r="CG22" s="1252"/>
      <c r="CH22" s="1252"/>
      <c r="CI22" s="1252"/>
      <c r="CJ22" s="1252"/>
      <c r="CK22" s="1252"/>
      <c r="CL22" s="1252"/>
      <c r="CM22" s="1252"/>
      <c r="CN22" s="1252"/>
      <c r="CO22" s="1252"/>
      <c r="CP22" s="1252"/>
      <c r="CQ22" s="1252"/>
      <c r="CR22" s="1252"/>
      <c r="CS22" s="1252"/>
      <c r="CT22" s="1252"/>
      <c r="CU22" s="1252"/>
      <c r="CV22" s="1252"/>
      <c r="CW22" s="1252"/>
      <c r="CX22" s="1252"/>
      <c r="CY22" s="1252"/>
      <c r="CZ22" s="1252"/>
      <c r="DA22" s="1252"/>
      <c r="DB22" s="1252"/>
      <c r="DC22" s="1252"/>
      <c r="DD22" s="1252"/>
      <c r="DE22" s="1252"/>
      <c r="DF22" s="1252"/>
      <c r="DG22" s="1252"/>
      <c r="DH22" s="1252"/>
      <c r="DI22" s="1252"/>
      <c r="DJ22" s="1252"/>
      <c r="DK22" s="1252"/>
      <c r="DL22" s="1252"/>
      <c r="DM22" s="1252"/>
      <c r="DN22" s="1252"/>
      <c r="DO22" s="1252"/>
      <c r="DP22" s="1252"/>
      <c r="DQ22" s="1252"/>
      <c r="DR22" s="1252"/>
      <c r="DS22" s="1252"/>
      <c r="DT22" s="1252"/>
      <c r="DU22" s="1252"/>
      <c r="DV22" s="1252"/>
      <c r="DW22" s="1252"/>
      <c r="DX22" s="1252"/>
      <c r="DY22" s="1252"/>
      <c r="DZ22" s="1252"/>
      <c r="EA22" s="1252"/>
      <c r="EB22" s="1252"/>
      <c r="EC22" s="1252"/>
      <c r="ED22" s="1252"/>
      <c r="EE22" s="1252"/>
      <c r="EF22" s="1252"/>
      <c r="EG22" s="1252"/>
      <c r="EH22" s="1252"/>
      <c r="EI22" s="1252"/>
      <c r="EJ22" s="1252"/>
      <c r="EK22" s="1252"/>
      <c r="EL22" s="1252"/>
      <c r="EM22" s="1252"/>
      <c r="EN22" s="1252"/>
      <c r="EO22" s="1252"/>
      <c r="EP22" s="1252"/>
      <c r="EQ22" s="1252"/>
      <c r="ER22" s="1252"/>
      <c r="ES22" s="1252"/>
      <c r="ET22" s="1252"/>
      <c r="EU22" s="1252"/>
      <c r="EV22" s="1252"/>
      <c r="EW22" s="1252"/>
      <c r="EX22" s="1252"/>
      <c r="EY22" s="1252"/>
      <c r="EZ22" s="1252"/>
      <c r="FA22" s="1252"/>
      <c r="FB22" s="1252"/>
      <c r="FC22" s="1252"/>
      <c r="FD22" s="1252"/>
      <c r="FE22" s="1252"/>
      <c r="FF22" s="1252"/>
      <c r="FG22" s="1252"/>
      <c r="FH22" s="1252"/>
      <c r="FI22" s="1252"/>
      <c r="FJ22" s="1252"/>
      <c r="FK22" s="1252"/>
      <c r="FL22" s="1252"/>
      <c r="FM22" s="1252"/>
      <c r="FN22" s="1252"/>
      <c r="FO22" s="1252"/>
      <c r="FP22" s="1252"/>
      <c r="FQ22" s="1252"/>
      <c r="FR22" s="1252"/>
      <c r="FS22" s="1252"/>
      <c r="FT22" s="1252"/>
      <c r="FU22" s="1252"/>
      <c r="FV22" s="1252"/>
      <c r="FW22" s="1252"/>
      <c r="FX22" s="1252"/>
      <c r="FY22" s="1252"/>
      <c r="FZ22" s="1252"/>
      <c r="GA22" s="1252"/>
      <c r="GB22" s="1252"/>
      <c r="GC22" s="1252"/>
      <c r="GD22" s="1252"/>
      <c r="GE22" s="1252"/>
      <c r="GF22" s="1252"/>
      <c r="GG22" s="1252"/>
      <c r="GH22" s="1252"/>
      <c r="GI22" s="1252"/>
      <c r="GJ22" s="1252"/>
      <c r="GK22" s="1252"/>
      <c r="GL22" s="1252"/>
      <c r="GM22" s="1252"/>
      <c r="GN22" s="1252"/>
      <c r="GO22" s="1252"/>
      <c r="GP22" s="1252"/>
      <c r="GQ22" s="1252"/>
      <c r="GR22" s="1252"/>
      <c r="GS22" s="1252"/>
      <c r="GT22" s="1252"/>
      <c r="GU22" s="1252"/>
      <c r="GV22" s="1252"/>
      <c r="GW22" s="1252"/>
      <c r="GX22" s="1252"/>
      <c r="GY22" s="1252"/>
      <c r="GZ22" s="1252"/>
      <c r="HA22" s="1252"/>
      <c r="HB22" s="1252"/>
      <c r="HC22" s="1252"/>
      <c r="HD22" s="1252"/>
      <c r="HE22" s="1252"/>
      <c r="HF22" s="1252"/>
      <c r="HG22" s="1252"/>
      <c r="HH22" s="1252"/>
      <c r="HI22" s="1252"/>
      <c r="HJ22" s="1252"/>
      <c r="HK22" s="1252"/>
      <c r="HL22" s="1252"/>
      <c r="HM22" s="1252"/>
      <c r="HN22" s="1252"/>
      <c r="HO22" s="1252"/>
      <c r="HP22" s="1252"/>
      <c r="HQ22" s="1252"/>
      <c r="HR22" s="1252"/>
      <c r="HS22" s="1252"/>
      <c r="HT22" s="1252"/>
      <c r="HU22" s="1252"/>
      <c r="HV22" s="1252"/>
      <c r="HW22" s="1252"/>
      <c r="HX22" s="1252"/>
      <c r="HY22" s="1252"/>
      <c r="HZ22" s="1252"/>
      <c r="IA22" s="1252"/>
      <c r="IB22" s="1252"/>
      <c r="IC22" s="1252"/>
      <c r="ID22" s="1252"/>
      <c r="IE22" s="1252"/>
      <c r="IF22" s="1252"/>
      <c r="IG22" s="1252"/>
      <c r="IH22" s="1252"/>
      <c r="II22" s="1252"/>
      <c r="IJ22" s="1252"/>
      <c r="IK22" s="1252"/>
      <c r="IL22" s="1252"/>
      <c r="IM22" s="1252"/>
      <c r="IN22" s="1252"/>
      <c r="IO22" s="1252"/>
      <c r="IP22" s="1252"/>
      <c r="IQ22" s="1252"/>
      <c r="IR22" s="1252"/>
      <c r="IS22" s="1252"/>
      <c r="IT22" s="1252"/>
      <c r="IU22" s="1252"/>
      <c r="IV22" s="1252"/>
    </row>
    <row r="23" spans="1:256" ht="12.75">
      <c r="A23" s="1246">
        <f>A22+1</f>
        <v>2</v>
      </c>
      <c r="B23" s="1247"/>
      <c r="C23" s="1248"/>
      <c r="D23" s="1248"/>
      <c r="E23" s="1248"/>
      <c r="F23" s="1249"/>
      <c r="G23" s="1249"/>
      <c r="H23" s="1249"/>
      <c r="I23" s="1249"/>
      <c r="J23" s="1249"/>
      <c r="K23" s="1249"/>
      <c r="L23" s="1249"/>
      <c r="M23" s="1249"/>
      <c r="N23" s="1250">
        <f aca="true" t="shared" si="1" ref="N23:O27">F23+H23+J23+L23</f>
        <v>0</v>
      </c>
      <c r="O23" s="1250">
        <f t="shared" si="1"/>
        <v>0</v>
      </c>
      <c r="P23" s="1251"/>
      <c r="Q23" s="1251"/>
      <c r="R23" s="1251"/>
      <c r="S23" s="1251"/>
      <c r="T23" s="1251"/>
      <c r="U23" s="1251"/>
      <c r="V23" s="1251"/>
      <c r="W23" s="1251"/>
      <c r="X23" s="1251"/>
      <c r="Y23" s="1251"/>
      <c r="Z23" s="1251"/>
      <c r="AA23" s="1251"/>
      <c r="AB23" s="1252"/>
      <c r="AC23" s="1252"/>
      <c r="AD23" s="1252"/>
      <c r="AE23" s="1252"/>
      <c r="AF23" s="1252"/>
      <c r="AG23" s="1252"/>
      <c r="AH23" s="1252"/>
      <c r="AI23" s="1252"/>
      <c r="AJ23" s="1252"/>
      <c r="AK23" s="1252"/>
      <c r="AL23" s="1252"/>
      <c r="AM23" s="1252"/>
      <c r="AN23" s="1252"/>
      <c r="AO23" s="1252"/>
      <c r="AP23" s="1252"/>
      <c r="AQ23" s="1252"/>
      <c r="AR23" s="1252"/>
      <c r="AS23" s="1252"/>
      <c r="AT23" s="1252"/>
      <c r="AU23" s="1252"/>
      <c r="AV23" s="1252"/>
      <c r="AW23" s="1252"/>
      <c r="AX23" s="1252"/>
      <c r="AY23" s="1252"/>
      <c r="AZ23" s="1252"/>
      <c r="BA23" s="1252"/>
      <c r="BB23" s="1252"/>
      <c r="BC23" s="1252"/>
      <c r="BD23" s="1252"/>
      <c r="BE23" s="1252"/>
      <c r="BF23" s="1252"/>
      <c r="BG23" s="1252"/>
      <c r="BH23" s="1252"/>
      <c r="BI23" s="1252"/>
      <c r="BJ23" s="1252"/>
      <c r="BK23" s="1252"/>
      <c r="BL23" s="1252"/>
      <c r="BM23" s="1252"/>
      <c r="BN23" s="1252"/>
      <c r="BO23" s="1252"/>
      <c r="BP23" s="1252"/>
      <c r="BQ23" s="1252"/>
      <c r="BR23" s="1252"/>
      <c r="BS23" s="1252"/>
      <c r="BT23" s="1252"/>
      <c r="BU23" s="1252"/>
      <c r="BV23" s="1252"/>
      <c r="BW23" s="1252"/>
      <c r="BX23" s="1252"/>
      <c r="BY23" s="1252"/>
      <c r="BZ23" s="1252"/>
      <c r="CA23" s="1252"/>
      <c r="CB23" s="1252"/>
      <c r="CC23" s="1252"/>
      <c r="CD23" s="1252"/>
      <c r="CE23" s="1252"/>
      <c r="CF23" s="1252"/>
      <c r="CG23" s="1252"/>
      <c r="CH23" s="1252"/>
      <c r="CI23" s="1252"/>
      <c r="CJ23" s="1252"/>
      <c r="CK23" s="1252"/>
      <c r="CL23" s="1252"/>
      <c r="CM23" s="1252"/>
      <c r="CN23" s="1252"/>
      <c r="CO23" s="1252"/>
      <c r="CP23" s="1252"/>
      <c r="CQ23" s="1252"/>
      <c r="CR23" s="1252"/>
      <c r="CS23" s="1252"/>
      <c r="CT23" s="1252"/>
      <c r="CU23" s="1252"/>
      <c r="CV23" s="1252"/>
      <c r="CW23" s="1252"/>
      <c r="CX23" s="1252"/>
      <c r="CY23" s="1252"/>
      <c r="CZ23" s="1252"/>
      <c r="DA23" s="1252"/>
      <c r="DB23" s="1252"/>
      <c r="DC23" s="1252"/>
      <c r="DD23" s="1252"/>
      <c r="DE23" s="1252"/>
      <c r="DF23" s="1252"/>
      <c r="DG23" s="1252"/>
      <c r="DH23" s="1252"/>
      <c r="DI23" s="1252"/>
      <c r="DJ23" s="1252"/>
      <c r="DK23" s="1252"/>
      <c r="DL23" s="1252"/>
      <c r="DM23" s="1252"/>
      <c r="DN23" s="1252"/>
      <c r="DO23" s="1252"/>
      <c r="DP23" s="1252"/>
      <c r="DQ23" s="1252"/>
      <c r="DR23" s="1252"/>
      <c r="DS23" s="1252"/>
      <c r="DT23" s="1252"/>
      <c r="DU23" s="1252"/>
      <c r="DV23" s="1252"/>
      <c r="DW23" s="1252"/>
      <c r="DX23" s="1252"/>
      <c r="DY23" s="1252"/>
      <c r="DZ23" s="1252"/>
      <c r="EA23" s="1252"/>
      <c r="EB23" s="1252"/>
      <c r="EC23" s="1252"/>
      <c r="ED23" s="1252"/>
      <c r="EE23" s="1252"/>
      <c r="EF23" s="1252"/>
      <c r="EG23" s="1252"/>
      <c r="EH23" s="1252"/>
      <c r="EI23" s="1252"/>
      <c r="EJ23" s="1252"/>
      <c r="EK23" s="1252"/>
      <c r="EL23" s="1252"/>
      <c r="EM23" s="1252"/>
      <c r="EN23" s="1252"/>
      <c r="EO23" s="1252"/>
      <c r="EP23" s="1252"/>
      <c r="EQ23" s="1252"/>
      <c r="ER23" s="1252"/>
      <c r="ES23" s="1252"/>
      <c r="ET23" s="1252"/>
      <c r="EU23" s="1252"/>
      <c r="EV23" s="1252"/>
      <c r="EW23" s="1252"/>
      <c r="EX23" s="1252"/>
      <c r="EY23" s="1252"/>
      <c r="EZ23" s="1252"/>
      <c r="FA23" s="1252"/>
      <c r="FB23" s="1252"/>
      <c r="FC23" s="1252"/>
      <c r="FD23" s="1252"/>
      <c r="FE23" s="1252"/>
      <c r="FF23" s="1252"/>
      <c r="FG23" s="1252"/>
      <c r="FH23" s="1252"/>
      <c r="FI23" s="1252"/>
      <c r="FJ23" s="1252"/>
      <c r="FK23" s="1252"/>
      <c r="FL23" s="1252"/>
      <c r="FM23" s="1252"/>
      <c r="FN23" s="1252"/>
      <c r="FO23" s="1252"/>
      <c r="FP23" s="1252"/>
      <c r="FQ23" s="1252"/>
      <c r="FR23" s="1252"/>
      <c r="FS23" s="1252"/>
      <c r="FT23" s="1252"/>
      <c r="FU23" s="1252"/>
      <c r="FV23" s="1252"/>
      <c r="FW23" s="1252"/>
      <c r="FX23" s="1252"/>
      <c r="FY23" s="1252"/>
      <c r="FZ23" s="1252"/>
      <c r="GA23" s="1252"/>
      <c r="GB23" s="1252"/>
      <c r="GC23" s="1252"/>
      <c r="GD23" s="1252"/>
      <c r="GE23" s="1252"/>
      <c r="GF23" s="1252"/>
      <c r="GG23" s="1252"/>
      <c r="GH23" s="1252"/>
      <c r="GI23" s="1252"/>
      <c r="GJ23" s="1252"/>
      <c r="GK23" s="1252"/>
      <c r="GL23" s="1252"/>
      <c r="GM23" s="1252"/>
      <c r="GN23" s="1252"/>
      <c r="GO23" s="1252"/>
      <c r="GP23" s="1252"/>
      <c r="GQ23" s="1252"/>
      <c r="GR23" s="1252"/>
      <c r="GS23" s="1252"/>
      <c r="GT23" s="1252"/>
      <c r="GU23" s="1252"/>
      <c r="GV23" s="1252"/>
      <c r="GW23" s="1252"/>
      <c r="GX23" s="1252"/>
      <c r="GY23" s="1252"/>
      <c r="GZ23" s="1252"/>
      <c r="HA23" s="1252"/>
      <c r="HB23" s="1252"/>
      <c r="HC23" s="1252"/>
      <c r="HD23" s="1252"/>
      <c r="HE23" s="1252"/>
      <c r="HF23" s="1252"/>
      <c r="HG23" s="1252"/>
      <c r="HH23" s="1252"/>
      <c r="HI23" s="1252"/>
      <c r="HJ23" s="1252"/>
      <c r="HK23" s="1252"/>
      <c r="HL23" s="1252"/>
      <c r="HM23" s="1252"/>
      <c r="HN23" s="1252"/>
      <c r="HO23" s="1252"/>
      <c r="HP23" s="1252"/>
      <c r="HQ23" s="1252"/>
      <c r="HR23" s="1252"/>
      <c r="HS23" s="1252"/>
      <c r="HT23" s="1252"/>
      <c r="HU23" s="1252"/>
      <c r="HV23" s="1252"/>
      <c r="HW23" s="1252"/>
      <c r="HX23" s="1252"/>
      <c r="HY23" s="1252"/>
      <c r="HZ23" s="1252"/>
      <c r="IA23" s="1252"/>
      <c r="IB23" s="1252"/>
      <c r="IC23" s="1252"/>
      <c r="ID23" s="1252"/>
      <c r="IE23" s="1252"/>
      <c r="IF23" s="1252"/>
      <c r="IG23" s="1252"/>
      <c r="IH23" s="1252"/>
      <c r="II23" s="1252"/>
      <c r="IJ23" s="1252"/>
      <c r="IK23" s="1252"/>
      <c r="IL23" s="1252"/>
      <c r="IM23" s="1252"/>
      <c r="IN23" s="1252"/>
      <c r="IO23" s="1252"/>
      <c r="IP23" s="1252"/>
      <c r="IQ23" s="1252"/>
      <c r="IR23" s="1252"/>
      <c r="IS23" s="1252"/>
      <c r="IT23" s="1252"/>
      <c r="IU23" s="1252"/>
      <c r="IV23" s="1252"/>
    </row>
    <row r="24" spans="1:256" ht="12.75">
      <c r="A24" s="1246">
        <f>A23+1</f>
        <v>3</v>
      </c>
      <c r="B24" s="1247"/>
      <c r="C24" s="1248"/>
      <c r="D24" s="1248"/>
      <c r="E24" s="1248"/>
      <c r="F24" s="1249"/>
      <c r="G24" s="1249"/>
      <c r="H24" s="1249"/>
      <c r="I24" s="1249"/>
      <c r="J24" s="1249"/>
      <c r="K24" s="1249"/>
      <c r="L24" s="1249"/>
      <c r="M24" s="1249"/>
      <c r="N24" s="1250">
        <f t="shared" si="1"/>
        <v>0</v>
      </c>
      <c r="O24" s="1250">
        <f t="shared" si="1"/>
        <v>0</v>
      </c>
      <c r="P24" s="1251"/>
      <c r="Q24" s="1251"/>
      <c r="R24" s="1251"/>
      <c r="S24" s="1251"/>
      <c r="T24" s="1251"/>
      <c r="U24" s="1251"/>
      <c r="V24" s="1251"/>
      <c r="W24" s="1251"/>
      <c r="X24" s="1251"/>
      <c r="Y24" s="1251"/>
      <c r="Z24" s="1251"/>
      <c r="AA24" s="1251"/>
      <c r="AB24" s="1252"/>
      <c r="AC24" s="1252"/>
      <c r="AD24" s="1252"/>
      <c r="AE24" s="1252"/>
      <c r="AF24" s="1252"/>
      <c r="AG24" s="1252"/>
      <c r="AH24" s="1252"/>
      <c r="AI24" s="1252"/>
      <c r="AJ24" s="1252"/>
      <c r="AK24" s="1252"/>
      <c r="AL24" s="1252"/>
      <c r="AM24" s="1252"/>
      <c r="AN24" s="1252"/>
      <c r="AO24" s="1252"/>
      <c r="AP24" s="1252"/>
      <c r="AQ24" s="1252"/>
      <c r="AR24" s="1252"/>
      <c r="AS24" s="1252"/>
      <c r="AT24" s="1252"/>
      <c r="AU24" s="1252"/>
      <c r="AV24" s="1252"/>
      <c r="AW24" s="1252"/>
      <c r="AX24" s="1252"/>
      <c r="AY24" s="1252"/>
      <c r="AZ24" s="1252"/>
      <c r="BA24" s="1252"/>
      <c r="BB24" s="1252"/>
      <c r="BC24" s="1252"/>
      <c r="BD24" s="1252"/>
      <c r="BE24" s="1252"/>
      <c r="BF24" s="1252"/>
      <c r="BG24" s="1252"/>
      <c r="BH24" s="1252"/>
      <c r="BI24" s="1252"/>
      <c r="BJ24" s="1252"/>
      <c r="BK24" s="1252"/>
      <c r="BL24" s="1252"/>
      <c r="BM24" s="1252"/>
      <c r="BN24" s="1252"/>
      <c r="BO24" s="1252"/>
      <c r="BP24" s="1252"/>
      <c r="BQ24" s="1252"/>
      <c r="BR24" s="1252"/>
      <c r="BS24" s="1252"/>
      <c r="BT24" s="1252"/>
      <c r="BU24" s="1252"/>
      <c r="BV24" s="1252"/>
      <c r="BW24" s="1252"/>
      <c r="BX24" s="1252"/>
      <c r="BY24" s="1252"/>
      <c r="BZ24" s="1252"/>
      <c r="CA24" s="1252"/>
      <c r="CB24" s="1252"/>
      <c r="CC24" s="1252"/>
      <c r="CD24" s="1252"/>
      <c r="CE24" s="1252"/>
      <c r="CF24" s="1252"/>
      <c r="CG24" s="1252"/>
      <c r="CH24" s="1252"/>
      <c r="CI24" s="1252"/>
      <c r="CJ24" s="1252"/>
      <c r="CK24" s="1252"/>
      <c r="CL24" s="1252"/>
      <c r="CM24" s="1252"/>
      <c r="CN24" s="1252"/>
      <c r="CO24" s="1252"/>
      <c r="CP24" s="1252"/>
      <c r="CQ24" s="1252"/>
      <c r="CR24" s="1252"/>
      <c r="CS24" s="1252"/>
      <c r="CT24" s="1252"/>
      <c r="CU24" s="1252"/>
      <c r="CV24" s="1252"/>
      <c r="CW24" s="1252"/>
      <c r="CX24" s="1252"/>
      <c r="CY24" s="1252"/>
      <c r="CZ24" s="1252"/>
      <c r="DA24" s="1252"/>
      <c r="DB24" s="1252"/>
      <c r="DC24" s="1252"/>
      <c r="DD24" s="1252"/>
      <c r="DE24" s="1252"/>
      <c r="DF24" s="1252"/>
      <c r="DG24" s="1252"/>
      <c r="DH24" s="1252"/>
      <c r="DI24" s="1252"/>
      <c r="DJ24" s="1252"/>
      <c r="DK24" s="1252"/>
      <c r="DL24" s="1252"/>
      <c r="DM24" s="1252"/>
      <c r="DN24" s="1252"/>
      <c r="DO24" s="1252"/>
      <c r="DP24" s="1252"/>
      <c r="DQ24" s="1252"/>
      <c r="DR24" s="1252"/>
      <c r="DS24" s="1252"/>
      <c r="DT24" s="1252"/>
      <c r="DU24" s="1252"/>
      <c r="DV24" s="1252"/>
      <c r="DW24" s="1252"/>
      <c r="DX24" s="1252"/>
      <c r="DY24" s="1252"/>
      <c r="DZ24" s="1252"/>
      <c r="EA24" s="1252"/>
      <c r="EB24" s="1252"/>
      <c r="EC24" s="1252"/>
      <c r="ED24" s="1252"/>
      <c r="EE24" s="1252"/>
      <c r="EF24" s="1252"/>
      <c r="EG24" s="1252"/>
      <c r="EH24" s="1252"/>
      <c r="EI24" s="1252"/>
      <c r="EJ24" s="1252"/>
      <c r="EK24" s="1252"/>
      <c r="EL24" s="1252"/>
      <c r="EM24" s="1252"/>
      <c r="EN24" s="1252"/>
      <c r="EO24" s="1252"/>
      <c r="EP24" s="1252"/>
      <c r="EQ24" s="1252"/>
      <c r="ER24" s="1252"/>
      <c r="ES24" s="1252"/>
      <c r="ET24" s="1252"/>
      <c r="EU24" s="1252"/>
      <c r="EV24" s="1252"/>
      <c r="EW24" s="1252"/>
      <c r="EX24" s="1252"/>
      <c r="EY24" s="1252"/>
      <c r="EZ24" s="1252"/>
      <c r="FA24" s="1252"/>
      <c r="FB24" s="1252"/>
      <c r="FC24" s="1252"/>
      <c r="FD24" s="1252"/>
      <c r="FE24" s="1252"/>
      <c r="FF24" s="1252"/>
      <c r="FG24" s="1252"/>
      <c r="FH24" s="1252"/>
      <c r="FI24" s="1252"/>
      <c r="FJ24" s="1252"/>
      <c r="FK24" s="1252"/>
      <c r="FL24" s="1252"/>
      <c r="FM24" s="1252"/>
      <c r="FN24" s="1252"/>
      <c r="FO24" s="1252"/>
      <c r="FP24" s="1252"/>
      <c r="FQ24" s="1252"/>
      <c r="FR24" s="1252"/>
      <c r="FS24" s="1252"/>
      <c r="FT24" s="1252"/>
      <c r="FU24" s="1252"/>
      <c r="FV24" s="1252"/>
      <c r="FW24" s="1252"/>
      <c r="FX24" s="1252"/>
      <c r="FY24" s="1252"/>
      <c r="FZ24" s="1252"/>
      <c r="GA24" s="1252"/>
      <c r="GB24" s="1252"/>
      <c r="GC24" s="1252"/>
      <c r="GD24" s="1252"/>
      <c r="GE24" s="1252"/>
      <c r="GF24" s="1252"/>
      <c r="GG24" s="1252"/>
      <c r="GH24" s="1252"/>
      <c r="GI24" s="1252"/>
      <c r="GJ24" s="1252"/>
      <c r="GK24" s="1252"/>
      <c r="GL24" s="1252"/>
      <c r="GM24" s="1252"/>
      <c r="GN24" s="1252"/>
      <c r="GO24" s="1252"/>
      <c r="GP24" s="1252"/>
      <c r="GQ24" s="1252"/>
      <c r="GR24" s="1252"/>
      <c r="GS24" s="1252"/>
      <c r="GT24" s="1252"/>
      <c r="GU24" s="1252"/>
      <c r="GV24" s="1252"/>
      <c r="GW24" s="1252"/>
      <c r="GX24" s="1252"/>
      <c r="GY24" s="1252"/>
      <c r="GZ24" s="1252"/>
      <c r="HA24" s="1252"/>
      <c r="HB24" s="1252"/>
      <c r="HC24" s="1252"/>
      <c r="HD24" s="1252"/>
      <c r="HE24" s="1252"/>
      <c r="HF24" s="1252"/>
      <c r="HG24" s="1252"/>
      <c r="HH24" s="1252"/>
      <c r="HI24" s="1252"/>
      <c r="HJ24" s="1252"/>
      <c r="HK24" s="1252"/>
      <c r="HL24" s="1252"/>
      <c r="HM24" s="1252"/>
      <c r="HN24" s="1252"/>
      <c r="HO24" s="1252"/>
      <c r="HP24" s="1252"/>
      <c r="HQ24" s="1252"/>
      <c r="HR24" s="1252"/>
      <c r="HS24" s="1252"/>
      <c r="HT24" s="1252"/>
      <c r="HU24" s="1252"/>
      <c r="HV24" s="1252"/>
      <c r="HW24" s="1252"/>
      <c r="HX24" s="1252"/>
      <c r="HY24" s="1252"/>
      <c r="HZ24" s="1252"/>
      <c r="IA24" s="1252"/>
      <c r="IB24" s="1252"/>
      <c r="IC24" s="1252"/>
      <c r="ID24" s="1252"/>
      <c r="IE24" s="1252"/>
      <c r="IF24" s="1252"/>
      <c r="IG24" s="1252"/>
      <c r="IH24" s="1252"/>
      <c r="II24" s="1252"/>
      <c r="IJ24" s="1252"/>
      <c r="IK24" s="1252"/>
      <c r="IL24" s="1252"/>
      <c r="IM24" s="1252"/>
      <c r="IN24" s="1252"/>
      <c r="IO24" s="1252"/>
      <c r="IP24" s="1252"/>
      <c r="IQ24" s="1252"/>
      <c r="IR24" s="1252"/>
      <c r="IS24" s="1252"/>
      <c r="IT24" s="1252"/>
      <c r="IU24" s="1252"/>
      <c r="IV24" s="1252"/>
    </row>
    <row r="25" spans="1:256" ht="12.75">
      <c r="A25" s="1246">
        <f>A24+1</f>
        <v>4</v>
      </c>
      <c r="B25" s="1247"/>
      <c r="C25" s="1248"/>
      <c r="D25" s="1248"/>
      <c r="E25" s="1248"/>
      <c r="F25" s="1249"/>
      <c r="G25" s="1249"/>
      <c r="H25" s="1249"/>
      <c r="I25" s="1249"/>
      <c r="J25" s="1249"/>
      <c r="K25" s="1249"/>
      <c r="L25" s="1249"/>
      <c r="M25" s="1249"/>
      <c r="N25" s="1250">
        <f t="shared" si="1"/>
        <v>0</v>
      </c>
      <c r="O25" s="1250">
        <f t="shared" si="1"/>
        <v>0</v>
      </c>
      <c r="P25" s="1251"/>
      <c r="Q25" s="1251"/>
      <c r="R25" s="1251"/>
      <c r="S25" s="1251"/>
      <c r="T25" s="1251"/>
      <c r="U25" s="1251"/>
      <c r="V25" s="1251"/>
      <c r="W25" s="1251"/>
      <c r="X25" s="1251"/>
      <c r="Y25" s="1251"/>
      <c r="Z25" s="1251"/>
      <c r="AA25" s="1251"/>
      <c r="AB25" s="1252"/>
      <c r="AC25" s="1252"/>
      <c r="AD25" s="1252"/>
      <c r="AE25" s="1252"/>
      <c r="AF25" s="1252"/>
      <c r="AG25" s="1252"/>
      <c r="AH25" s="1252"/>
      <c r="AI25" s="1252"/>
      <c r="AJ25" s="1252"/>
      <c r="AK25" s="1252"/>
      <c r="AL25" s="1252"/>
      <c r="AM25" s="1252"/>
      <c r="AN25" s="1252"/>
      <c r="AO25" s="1252"/>
      <c r="AP25" s="1252"/>
      <c r="AQ25" s="1252"/>
      <c r="AR25" s="1252"/>
      <c r="AS25" s="1252"/>
      <c r="AT25" s="1252"/>
      <c r="AU25" s="1252"/>
      <c r="AV25" s="1252"/>
      <c r="AW25" s="1252"/>
      <c r="AX25" s="1252"/>
      <c r="AY25" s="1252"/>
      <c r="AZ25" s="1252"/>
      <c r="BA25" s="1252"/>
      <c r="BB25" s="1252"/>
      <c r="BC25" s="1252"/>
      <c r="BD25" s="1252"/>
      <c r="BE25" s="1252"/>
      <c r="BF25" s="1252"/>
      <c r="BG25" s="1252"/>
      <c r="BH25" s="1252"/>
      <c r="BI25" s="1252"/>
      <c r="BJ25" s="1252"/>
      <c r="BK25" s="1252"/>
      <c r="BL25" s="1252"/>
      <c r="BM25" s="1252"/>
      <c r="BN25" s="1252"/>
      <c r="BO25" s="1252"/>
      <c r="BP25" s="1252"/>
      <c r="BQ25" s="1252"/>
      <c r="BR25" s="1252"/>
      <c r="BS25" s="1252"/>
      <c r="BT25" s="1252"/>
      <c r="BU25" s="1252"/>
      <c r="BV25" s="1252"/>
      <c r="BW25" s="1252"/>
      <c r="BX25" s="1252"/>
      <c r="BY25" s="1252"/>
      <c r="BZ25" s="1252"/>
      <c r="CA25" s="1252"/>
      <c r="CB25" s="1252"/>
      <c r="CC25" s="1252"/>
      <c r="CD25" s="1252"/>
      <c r="CE25" s="1252"/>
      <c r="CF25" s="1252"/>
      <c r="CG25" s="1252"/>
      <c r="CH25" s="1252"/>
      <c r="CI25" s="1252"/>
      <c r="CJ25" s="1252"/>
      <c r="CK25" s="1252"/>
      <c r="CL25" s="1252"/>
      <c r="CM25" s="1252"/>
      <c r="CN25" s="1252"/>
      <c r="CO25" s="1252"/>
      <c r="CP25" s="1252"/>
      <c r="CQ25" s="1252"/>
      <c r="CR25" s="1252"/>
      <c r="CS25" s="1252"/>
      <c r="CT25" s="1252"/>
      <c r="CU25" s="1252"/>
      <c r="CV25" s="1252"/>
      <c r="CW25" s="1252"/>
      <c r="CX25" s="1252"/>
      <c r="CY25" s="1252"/>
      <c r="CZ25" s="1252"/>
      <c r="DA25" s="1252"/>
      <c r="DB25" s="1252"/>
      <c r="DC25" s="1252"/>
      <c r="DD25" s="1252"/>
      <c r="DE25" s="1252"/>
      <c r="DF25" s="1252"/>
      <c r="DG25" s="1252"/>
      <c r="DH25" s="1252"/>
      <c r="DI25" s="1252"/>
      <c r="DJ25" s="1252"/>
      <c r="DK25" s="1252"/>
      <c r="DL25" s="1252"/>
      <c r="DM25" s="1252"/>
      <c r="DN25" s="1252"/>
      <c r="DO25" s="1252"/>
      <c r="DP25" s="1252"/>
      <c r="DQ25" s="1252"/>
      <c r="DR25" s="1252"/>
      <c r="DS25" s="1252"/>
      <c r="DT25" s="1252"/>
      <c r="DU25" s="1252"/>
      <c r="DV25" s="1252"/>
      <c r="DW25" s="1252"/>
      <c r="DX25" s="1252"/>
      <c r="DY25" s="1252"/>
      <c r="DZ25" s="1252"/>
      <c r="EA25" s="1252"/>
      <c r="EB25" s="1252"/>
      <c r="EC25" s="1252"/>
      <c r="ED25" s="1252"/>
      <c r="EE25" s="1252"/>
      <c r="EF25" s="1252"/>
      <c r="EG25" s="1252"/>
      <c r="EH25" s="1252"/>
      <c r="EI25" s="1252"/>
      <c r="EJ25" s="1252"/>
      <c r="EK25" s="1252"/>
      <c r="EL25" s="1252"/>
      <c r="EM25" s="1252"/>
      <c r="EN25" s="1252"/>
      <c r="EO25" s="1252"/>
      <c r="EP25" s="1252"/>
      <c r="EQ25" s="1252"/>
      <c r="ER25" s="1252"/>
      <c r="ES25" s="1252"/>
      <c r="ET25" s="1252"/>
      <c r="EU25" s="1252"/>
      <c r="EV25" s="1252"/>
      <c r="EW25" s="1252"/>
      <c r="EX25" s="1252"/>
      <c r="EY25" s="1252"/>
      <c r="EZ25" s="1252"/>
      <c r="FA25" s="1252"/>
      <c r="FB25" s="1252"/>
      <c r="FC25" s="1252"/>
      <c r="FD25" s="1252"/>
      <c r="FE25" s="1252"/>
      <c r="FF25" s="1252"/>
      <c r="FG25" s="1252"/>
      <c r="FH25" s="1252"/>
      <c r="FI25" s="1252"/>
      <c r="FJ25" s="1252"/>
      <c r="FK25" s="1252"/>
      <c r="FL25" s="1252"/>
      <c r="FM25" s="1252"/>
      <c r="FN25" s="1252"/>
      <c r="FO25" s="1252"/>
      <c r="FP25" s="1252"/>
      <c r="FQ25" s="1252"/>
      <c r="FR25" s="1252"/>
      <c r="FS25" s="1252"/>
      <c r="FT25" s="1252"/>
      <c r="FU25" s="1252"/>
      <c r="FV25" s="1252"/>
      <c r="FW25" s="1252"/>
      <c r="FX25" s="1252"/>
      <c r="FY25" s="1252"/>
      <c r="FZ25" s="1252"/>
      <c r="GA25" s="1252"/>
      <c r="GB25" s="1252"/>
      <c r="GC25" s="1252"/>
      <c r="GD25" s="1252"/>
      <c r="GE25" s="1252"/>
      <c r="GF25" s="1252"/>
      <c r="GG25" s="1252"/>
      <c r="GH25" s="1252"/>
      <c r="GI25" s="1252"/>
      <c r="GJ25" s="1252"/>
      <c r="GK25" s="1252"/>
      <c r="GL25" s="1252"/>
      <c r="GM25" s="1252"/>
      <c r="GN25" s="1252"/>
      <c r="GO25" s="1252"/>
      <c r="GP25" s="1252"/>
      <c r="GQ25" s="1252"/>
      <c r="GR25" s="1252"/>
      <c r="GS25" s="1252"/>
      <c r="GT25" s="1252"/>
      <c r="GU25" s="1252"/>
      <c r="GV25" s="1252"/>
      <c r="GW25" s="1252"/>
      <c r="GX25" s="1252"/>
      <c r="GY25" s="1252"/>
      <c r="GZ25" s="1252"/>
      <c r="HA25" s="1252"/>
      <c r="HB25" s="1252"/>
      <c r="HC25" s="1252"/>
      <c r="HD25" s="1252"/>
      <c r="HE25" s="1252"/>
      <c r="HF25" s="1252"/>
      <c r="HG25" s="1252"/>
      <c r="HH25" s="1252"/>
      <c r="HI25" s="1252"/>
      <c r="HJ25" s="1252"/>
      <c r="HK25" s="1252"/>
      <c r="HL25" s="1252"/>
      <c r="HM25" s="1252"/>
      <c r="HN25" s="1252"/>
      <c r="HO25" s="1252"/>
      <c r="HP25" s="1252"/>
      <c r="HQ25" s="1252"/>
      <c r="HR25" s="1252"/>
      <c r="HS25" s="1252"/>
      <c r="HT25" s="1252"/>
      <c r="HU25" s="1252"/>
      <c r="HV25" s="1252"/>
      <c r="HW25" s="1252"/>
      <c r="HX25" s="1252"/>
      <c r="HY25" s="1252"/>
      <c r="HZ25" s="1252"/>
      <c r="IA25" s="1252"/>
      <c r="IB25" s="1252"/>
      <c r="IC25" s="1252"/>
      <c r="ID25" s="1252"/>
      <c r="IE25" s="1252"/>
      <c r="IF25" s="1252"/>
      <c r="IG25" s="1252"/>
      <c r="IH25" s="1252"/>
      <c r="II25" s="1252"/>
      <c r="IJ25" s="1252"/>
      <c r="IK25" s="1252"/>
      <c r="IL25" s="1252"/>
      <c r="IM25" s="1252"/>
      <c r="IN25" s="1252"/>
      <c r="IO25" s="1252"/>
      <c r="IP25" s="1252"/>
      <c r="IQ25" s="1252"/>
      <c r="IR25" s="1252"/>
      <c r="IS25" s="1252"/>
      <c r="IT25" s="1252"/>
      <c r="IU25" s="1252"/>
      <c r="IV25" s="1252"/>
    </row>
    <row r="26" spans="1:256" ht="12.75">
      <c r="A26" s="1246">
        <f>A25+1</f>
        <v>5</v>
      </c>
      <c r="B26" s="1247"/>
      <c r="C26" s="1248"/>
      <c r="D26" s="1248"/>
      <c r="E26" s="1248"/>
      <c r="F26" s="1249"/>
      <c r="G26" s="1249"/>
      <c r="H26" s="1249"/>
      <c r="I26" s="1249"/>
      <c r="J26" s="1249"/>
      <c r="K26" s="1249"/>
      <c r="L26" s="1249"/>
      <c r="M26" s="1249"/>
      <c r="N26" s="1250">
        <f t="shared" si="1"/>
        <v>0</v>
      </c>
      <c r="O26" s="1250">
        <f t="shared" si="1"/>
        <v>0</v>
      </c>
      <c r="P26" s="1251"/>
      <c r="Q26" s="1251"/>
      <c r="R26" s="1251"/>
      <c r="S26" s="1251"/>
      <c r="T26" s="1251"/>
      <c r="U26" s="1251"/>
      <c r="V26" s="1251"/>
      <c r="W26" s="1251"/>
      <c r="X26" s="1251"/>
      <c r="Y26" s="1251"/>
      <c r="Z26" s="1251"/>
      <c r="AA26" s="1251"/>
      <c r="AB26" s="1252"/>
      <c r="AC26" s="1252"/>
      <c r="AD26" s="1252"/>
      <c r="AE26" s="1252"/>
      <c r="AF26" s="1252"/>
      <c r="AG26" s="1252"/>
      <c r="AH26" s="1252"/>
      <c r="AI26" s="1252"/>
      <c r="AJ26" s="1252"/>
      <c r="AK26" s="1252"/>
      <c r="AL26" s="1252"/>
      <c r="AM26" s="1252"/>
      <c r="AN26" s="1252"/>
      <c r="AO26" s="1252"/>
      <c r="AP26" s="1252"/>
      <c r="AQ26" s="1252"/>
      <c r="AR26" s="1252"/>
      <c r="AS26" s="1252"/>
      <c r="AT26" s="1252"/>
      <c r="AU26" s="1252"/>
      <c r="AV26" s="1252"/>
      <c r="AW26" s="1252"/>
      <c r="AX26" s="1252"/>
      <c r="AY26" s="1252"/>
      <c r="AZ26" s="1252"/>
      <c r="BA26" s="1252"/>
      <c r="BB26" s="1252"/>
      <c r="BC26" s="1252"/>
      <c r="BD26" s="1252"/>
      <c r="BE26" s="1252"/>
      <c r="BF26" s="1252"/>
      <c r="BG26" s="1252"/>
      <c r="BH26" s="1252"/>
      <c r="BI26" s="1252"/>
      <c r="BJ26" s="1252"/>
      <c r="BK26" s="1252"/>
      <c r="BL26" s="1252"/>
      <c r="BM26" s="1252"/>
      <c r="BN26" s="1252"/>
      <c r="BO26" s="1252"/>
      <c r="BP26" s="1252"/>
      <c r="BQ26" s="1252"/>
      <c r="BR26" s="1252"/>
      <c r="BS26" s="1252"/>
      <c r="BT26" s="1252"/>
      <c r="BU26" s="1252"/>
      <c r="BV26" s="1252"/>
      <c r="BW26" s="1252"/>
      <c r="BX26" s="1252"/>
      <c r="BY26" s="1252"/>
      <c r="BZ26" s="1252"/>
      <c r="CA26" s="1252"/>
      <c r="CB26" s="1252"/>
      <c r="CC26" s="1252"/>
      <c r="CD26" s="1252"/>
      <c r="CE26" s="1252"/>
      <c r="CF26" s="1252"/>
      <c r="CG26" s="1252"/>
      <c r="CH26" s="1252"/>
      <c r="CI26" s="1252"/>
      <c r="CJ26" s="1252"/>
      <c r="CK26" s="1252"/>
      <c r="CL26" s="1252"/>
      <c r="CM26" s="1252"/>
      <c r="CN26" s="1252"/>
      <c r="CO26" s="1252"/>
      <c r="CP26" s="1252"/>
      <c r="CQ26" s="1252"/>
      <c r="CR26" s="1252"/>
      <c r="CS26" s="1252"/>
      <c r="CT26" s="1252"/>
      <c r="CU26" s="1252"/>
      <c r="CV26" s="1252"/>
      <c r="CW26" s="1252"/>
      <c r="CX26" s="1252"/>
      <c r="CY26" s="1252"/>
      <c r="CZ26" s="1252"/>
      <c r="DA26" s="1252"/>
      <c r="DB26" s="1252"/>
      <c r="DC26" s="1252"/>
      <c r="DD26" s="1252"/>
      <c r="DE26" s="1252"/>
      <c r="DF26" s="1252"/>
      <c r="DG26" s="1252"/>
      <c r="DH26" s="1252"/>
      <c r="DI26" s="1252"/>
      <c r="DJ26" s="1252"/>
      <c r="DK26" s="1252"/>
      <c r="DL26" s="1252"/>
      <c r="DM26" s="1252"/>
      <c r="DN26" s="1252"/>
      <c r="DO26" s="1252"/>
      <c r="DP26" s="1252"/>
      <c r="DQ26" s="1252"/>
      <c r="DR26" s="1252"/>
      <c r="DS26" s="1252"/>
      <c r="DT26" s="1252"/>
      <c r="DU26" s="1252"/>
      <c r="DV26" s="1252"/>
      <c r="DW26" s="1252"/>
      <c r="DX26" s="1252"/>
      <c r="DY26" s="1252"/>
      <c r="DZ26" s="1252"/>
      <c r="EA26" s="1252"/>
      <c r="EB26" s="1252"/>
      <c r="EC26" s="1252"/>
      <c r="ED26" s="1252"/>
      <c r="EE26" s="1252"/>
      <c r="EF26" s="1252"/>
      <c r="EG26" s="1252"/>
      <c r="EH26" s="1252"/>
      <c r="EI26" s="1252"/>
      <c r="EJ26" s="1252"/>
      <c r="EK26" s="1252"/>
      <c r="EL26" s="1252"/>
      <c r="EM26" s="1252"/>
      <c r="EN26" s="1252"/>
      <c r="EO26" s="1252"/>
      <c r="EP26" s="1252"/>
      <c r="EQ26" s="1252"/>
      <c r="ER26" s="1252"/>
      <c r="ES26" s="1252"/>
      <c r="ET26" s="1252"/>
      <c r="EU26" s="1252"/>
      <c r="EV26" s="1252"/>
      <c r="EW26" s="1252"/>
      <c r="EX26" s="1252"/>
      <c r="EY26" s="1252"/>
      <c r="EZ26" s="1252"/>
      <c r="FA26" s="1252"/>
      <c r="FB26" s="1252"/>
      <c r="FC26" s="1252"/>
      <c r="FD26" s="1252"/>
      <c r="FE26" s="1252"/>
      <c r="FF26" s="1252"/>
      <c r="FG26" s="1252"/>
      <c r="FH26" s="1252"/>
      <c r="FI26" s="1252"/>
      <c r="FJ26" s="1252"/>
      <c r="FK26" s="1252"/>
      <c r="FL26" s="1252"/>
      <c r="FM26" s="1252"/>
      <c r="FN26" s="1252"/>
      <c r="FO26" s="1252"/>
      <c r="FP26" s="1252"/>
      <c r="FQ26" s="1252"/>
      <c r="FR26" s="1252"/>
      <c r="FS26" s="1252"/>
      <c r="FT26" s="1252"/>
      <c r="FU26" s="1252"/>
      <c r="FV26" s="1252"/>
      <c r="FW26" s="1252"/>
      <c r="FX26" s="1252"/>
      <c r="FY26" s="1252"/>
      <c r="FZ26" s="1252"/>
      <c r="GA26" s="1252"/>
      <c r="GB26" s="1252"/>
      <c r="GC26" s="1252"/>
      <c r="GD26" s="1252"/>
      <c r="GE26" s="1252"/>
      <c r="GF26" s="1252"/>
      <c r="GG26" s="1252"/>
      <c r="GH26" s="1252"/>
      <c r="GI26" s="1252"/>
      <c r="GJ26" s="1252"/>
      <c r="GK26" s="1252"/>
      <c r="GL26" s="1252"/>
      <c r="GM26" s="1252"/>
      <c r="GN26" s="1252"/>
      <c r="GO26" s="1252"/>
      <c r="GP26" s="1252"/>
      <c r="GQ26" s="1252"/>
      <c r="GR26" s="1252"/>
      <c r="GS26" s="1252"/>
      <c r="GT26" s="1252"/>
      <c r="GU26" s="1252"/>
      <c r="GV26" s="1252"/>
      <c r="GW26" s="1252"/>
      <c r="GX26" s="1252"/>
      <c r="GY26" s="1252"/>
      <c r="GZ26" s="1252"/>
      <c r="HA26" s="1252"/>
      <c r="HB26" s="1252"/>
      <c r="HC26" s="1252"/>
      <c r="HD26" s="1252"/>
      <c r="HE26" s="1252"/>
      <c r="HF26" s="1252"/>
      <c r="HG26" s="1252"/>
      <c r="HH26" s="1252"/>
      <c r="HI26" s="1252"/>
      <c r="HJ26" s="1252"/>
      <c r="HK26" s="1252"/>
      <c r="HL26" s="1252"/>
      <c r="HM26" s="1252"/>
      <c r="HN26" s="1252"/>
      <c r="HO26" s="1252"/>
      <c r="HP26" s="1252"/>
      <c r="HQ26" s="1252"/>
      <c r="HR26" s="1252"/>
      <c r="HS26" s="1252"/>
      <c r="HT26" s="1252"/>
      <c r="HU26" s="1252"/>
      <c r="HV26" s="1252"/>
      <c r="HW26" s="1252"/>
      <c r="HX26" s="1252"/>
      <c r="HY26" s="1252"/>
      <c r="HZ26" s="1252"/>
      <c r="IA26" s="1252"/>
      <c r="IB26" s="1252"/>
      <c r="IC26" s="1252"/>
      <c r="ID26" s="1252"/>
      <c r="IE26" s="1252"/>
      <c r="IF26" s="1252"/>
      <c r="IG26" s="1252"/>
      <c r="IH26" s="1252"/>
      <c r="II26" s="1252"/>
      <c r="IJ26" s="1252"/>
      <c r="IK26" s="1252"/>
      <c r="IL26" s="1252"/>
      <c r="IM26" s="1252"/>
      <c r="IN26" s="1252"/>
      <c r="IO26" s="1252"/>
      <c r="IP26" s="1252"/>
      <c r="IQ26" s="1252"/>
      <c r="IR26" s="1252"/>
      <c r="IS26" s="1252"/>
      <c r="IT26" s="1252"/>
      <c r="IU26" s="1252"/>
      <c r="IV26" s="1252"/>
    </row>
    <row r="27" spans="1:256" ht="12.75">
      <c r="A27" s="1246"/>
      <c r="B27" s="1253" t="s">
        <v>798</v>
      </c>
      <c r="C27" s="1254"/>
      <c r="D27" s="1254"/>
      <c r="E27" s="1254"/>
      <c r="F27" s="1255"/>
      <c r="G27" s="1255"/>
      <c r="H27" s="1255"/>
      <c r="I27" s="1255"/>
      <c r="J27" s="1255"/>
      <c r="K27" s="1255"/>
      <c r="L27" s="1255"/>
      <c r="M27" s="1255"/>
      <c r="N27" s="1250">
        <f t="shared" si="1"/>
        <v>0</v>
      </c>
      <c r="O27" s="1250">
        <f t="shared" si="1"/>
        <v>0</v>
      </c>
      <c r="P27" s="1256"/>
      <c r="Q27" s="1256"/>
      <c r="R27" s="1256"/>
      <c r="S27" s="1256"/>
      <c r="T27" s="1256"/>
      <c r="U27" s="1256"/>
      <c r="V27" s="1256"/>
      <c r="W27" s="1256"/>
      <c r="X27" s="1256"/>
      <c r="Y27" s="1256"/>
      <c r="Z27" s="1256"/>
      <c r="AA27" s="1256"/>
      <c r="AB27" s="1257"/>
      <c r="AC27" s="1257"/>
      <c r="AD27" s="1257"/>
      <c r="AE27" s="1257"/>
      <c r="AF27" s="1257"/>
      <c r="AG27" s="1257"/>
      <c r="AH27" s="1257"/>
      <c r="AI27" s="1257"/>
      <c r="AJ27" s="1257"/>
      <c r="AK27" s="1257"/>
      <c r="AL27" s="1257"/>
      <c r="AM27" s="1257"/>
      <c r="AN27" s="1257"/>
      <c r="AO27" s="1257"/>
      <c r="AP27" s="1257"/>
      <c r="AQ27" s="1257"/>
      <c r="AR27" s="1257"/>
      <c r="AS27" s="1257"/>
      <c r="AT27" s="1257"/>
      <c r="AU27" s="1257"/>
      <c r="AV27" s="1257"/>
      <c r="AW27" s="1257"/>
      <c r="AX27" s="1257"/>
      <c r="AY27" s="1257"/>
      <c r="AZ27" s="1257"/>
      <c r="BA27" s="1257"/>
      <c r="BB27" s="1257"/>
      <c r="BC27" s="1257"/>
      <c r="BD27" s="1257"/>
      <c r="BE27" s="1257"/>
      <c r="BF27" s="1257"/>
      <c r="BG27" s="1257"/>
      <c r="BH27" s="1257"/>
      <c r="BI27" s="1257"/>
      <c r="BJ27" s="1257"/>
      <c r="BK27" s="1257"/>
      <c r="BL27" s="1257"/>
      <c r="BM27" s="1257"/>
      <c r="BN27" s="1257"/>
      <c r="BO27" s="1257"/>
      <c r="BP27" s="1257"/>
      <c r="BQ27" s="1257"/>
      <c r="BR27" s="1257"/>
      <c r="BS27" s="1257"/>
      <c r="BT27" s="1257"/>
      <c r="BU27" s="1257"/>
      <c r="BV27" s="1257"/>
      <c r="BW27" s="1257"/>
      <c r="BX27" s="1257"/>
      <c r="BY27" s="1257"/>
      <c r="BZ27" s="1257"/>
      <c r="CA27" s="1257"/>
      <c r="CB27" s="1257"/>
      <c r="CC27" s="1257"/>
      <c r="CD27" s="1257"/>
      <c r="CE27" s="1257"/>
      <c r="CF27" s="1257"/>
      <c r="CG27" s="1257"/>
      <c r="CH27" s="1257"/>
      <c r="CI27" s="1257"/>
      <c r="CJ27" s="1257"/>
      <c r="CK27" s="1257"/>
      <c r="CL27" s="1257"/>
      <c r="CM27" s="1257"/>
      <c r="CN27" s="1257"/>
      <c r="CO27" s="1257"/>
      <c r="CP27" s="1257"/>
      <c r="CQ27" s="1257"/>
      <c r="CR27" s="1257"/>
      <c r="CS27" s="1257"/>
      <c r="CT27" s="1257"/>
      <c r="CU27" s="1257"/>
      <c r="CV27" s="1257"/>
      <c r="CW27" s="1257"/>
      <c r="CX27" s="1257"/>
      <c r="CY27" s="1257"/>
      <c r="CZ27" s="1257"/>
      <c r="DA27" s="1257"/>
      <c r="DB27" s="1257"/>
      <c r="DC27" s="1257"/>
      <c r="DD27" s="1257"/>
      <c r="DE27" s="1257"/>
      <c r="DF27" s="1257"/>
      <c r="DG27" s="1257"/>
      <c r="DH27" s="1257"/>
      <c r="DI27" s="1257"/>
      <c r="DJ27" s="1257"/>
      <c r="DK27" s="1257"/>
      <c r="DL27" s="1257"/>
      <c r="DM27" s="1257"/>
      <c r="DN27" s="1257"/>
      <c r="DO27" s="1257"/>
      <c r="DP27" s="1257"/>
      <c r="DQ27" s="1257"/>
      <c r="DR27" s="1257"/>
      <c r="DS27" s="1257"/>
      <c r="DT27" s="1257"/>
      <c r="DU27" s="1257"/>
      <c r="DV27" s="1257"/>
      <c r="DW27" s="1257"/>
      <c r="DX27" s="1257"/>
      <c r="DY27" s="1257"/>
      <c r="DZ27" s="1257"/>
      <c r="EA27" s="1257"/>
      <c r="EB27" s="1257"/>
      <c r="EC27" s="1257"/>
      <c r="ED27" s="1257"/>
      <c r="EE27" s="1257"/>
      <c r="EF27" s="1257"/>
      <c r="EG27" s="1257"/>
      <c r="EH27" s="1257"/>
      <c r="EI27" s="1257"/>
      <c r="EJ27" s="1257"/>
      <c r="EK27" s="1257"/>
      <c r="EL27" s="1257"/>
      <c r="EM27" s="1257"/>
      <c r="EN27" s="1257"/>
      <c r="EO27" s="1257"/>
      <c r="EP27" s="1257"/>
      <c r="EQ27" s="1257"/>
      <c r="ER27" s="1257"/>
      <c r="ES27" s="1257"/>
      <c r="ET27" s="1257"/>
      <c r="EU27" s="1257"/>
      <c r="EV27" s="1257"/>
      <c r="EW27" s="1257"/>
      <c r="EX27" s="1257"/>
      <c r="EY27" s="1257"/>
      <c r="EZ27" s="1257"/>
      <c r="FA27" s="1257"/>
      <c r="FB27" s="1257"/>
      <c r="FC27" s="1257"/>
      <c r="FD27" s="1257"/>
      <c r="FE27" s="1257"/>
      <c r="FF27" s="1257"/>
      <c r="FG27" s="1257"/>
      <c r="FH27" s="1257"/>
      <c r="FI27" s="1257"/>
      <c r="FJ27" s="1257"/>
      <c r="FK27" s="1257"/>
      <c r="FL27" s="1257"/>
      <c r="FM27" s="1257"/>
      <c r="FN27" s="1257"/>
      <c r="FO27" s="1257"/>
      <c r="FP27" s="1257"/>
      <c r="FQ27" s="1257"/>
      <c r="FR27" s="1257"/>
      <c r="FS27" s="1257"/>
      <c r="FT27" s="1257"/>
      <c r="FU27" s="1257"/>
      <c r="FV27" s="1257"/>
      <c r="FW27" s="1257"/>
      <c r="FX27" s="1257"/>
      <c r="FY27" s="1257"/>
      <c r="FZ27" s="1257"/>
      <c r="GA27" s="1257"/>
      <c r="GB27" s="1257"/>
      <c r="GC27" s="1257"/>
      <c r="GD27" s="1257"/>
      <c r="GE27" s="1257"/>
      <c r="GF27" s="1257"/>
      <c r="GG27" s="1257"/>
      <c r="GH27" s="1257"/>
      <c r="GI27" s="1257"/>
      <c r="GJ27" s="1257"/>
      <c r="GK27" s="1257"/>
      <c r="GL27" s="1257"/>
      <c r="GM27" s="1257"/>
      <c r="GN27" s="1257"/>
      <c r="GO27" s="1257"/>
      <c r="GP27" s="1257"/>
      <c r="GQ27" s="1257"/>
      <c r="GR27" s="1257"/>
      <c r="GS27" s="1257"/>
      <c r="GT27" s="1257"/>
      <c r="GU27" s="1257"/>
      <c r="GV27" s="1257"/>
      <c r="GW27" s="1257"/>
      <c r="GX27" s="1257"/>
      <c r="GY27" s="1257"/>
      <c r="GZ27" s="1257"/>
      <c r="HA27" s="1257"/>
      <c r="HB27" s="1257"/>
      <c r="HC27" s="1257"/>
      <c r="HD27" s="1257"/>
      <c r="HE27" s="1257"/>
      <c r="HF27" s="1257"/>
      <c r="HG27" s="1257"/>
      <c r="HH27" s="1257"/>
      <c r="HI27" s="1257"/>
      <c r="HJ27" s="1257"/>
      <c r="HK27" s="1257"/>
      <c r="HL27" s="1257"/>
      <c r="HM27" s="1257"/>
      <c r="HN27" s="1257"/>
      <c r="HO27" s="1257"/>
      <c r="HP27" s="1257"/>
      <c r="HQ27" s="1257"/>
      <c r="HR27" s="1257"/>
      <c r="HS27" s="1257"/>
      <c r="HT27" s="1257"/>
      <c r="HU27" s="1257"/>
      <c r="HV27" s="1257"/>
      <c r="HW27" s="1257"/>
      <c r="HX27" s="1257"/>
      <c r="HY27" s="1257"/>
      <c r="HZ27" s="1257"/>
      <c r="IA27" s="1257"/>
      <c r="IB27" s="1257"/>
      <c r="IC27" s="1257"/>
      <c r="ID27" s="1257"/>
      <c r="IE27" s="1257"/>
      <c r="IF27" s="1257"/>
      <c r="IG27" s="1257"/>
      <c r="IH27" s="1257"/>
      <c r="II27" s="1257"/>
      <c r="IJ27" s="1257"/>
      <c r="IK27" s="1257"/>
      <c r="IL27" s="1257"/>
      <c r="IM27" s="1257"/>
      <c r="IN27" s="1257"/>
      <c r="IO27" s="1257"/>
      <c r="IP27" s="1257"/>
      <c r="IQ27" s="1257"/>
      <c r="IR27" s="1257"/>
      <c r="IS27" s="1257"/>
      <c r="IT27" s="1257"/>
      <c r="IU27" s="1257"/>
      <c r="IV27" s="1257"/>
    </row>
    <row r="28" spans="1:256" ht="12.75">
      <c r="A28" s="1258"/>
      <c r="B28" s="1259" t="s">
        <v>1274</v>
      </c>
      <c r="C28" s="1260" t="s">
        <v>283</v>
      </c>
      <c r="D28" s="1261">
        <f aca="true" t="shared" si="2" ref="D28:O28">SUM(D22:D27)</f>
        <v>1</v>
      </c>
      <c r="E28" s="1261">
        <f t="shared" si="2"/>
        <v>0</v>
      </c>
      <c r="F28" s="1261">
        <f t="shared" si="2"/>
        <v>0</v>
      </c>
      <c r="G28" s="1261">
        <f t="shared" si="2"/>
        <v>0</v>
      </c>
      <c r="H28" s="1261">
        <f t="shared" si="2"/>
        <v>14.5</v>
      </c>
      <c r="I28" s="1261">
        <f t="shared" si="2"/>
        <v>0</v>
      </c>
      <c r="J28" s="1261">
        <f t="shared" si="2"/>
        <v>0</v>
      </c>
      <c r="K28" s="1261">
        <f t="shared" si="2"/>
        <v>0</v>
      </c>
      <c r="L28" s="1261">
        <f t="shared" si="2"/>
        <v>38</v>
      </c>
      <c r="M28" s="1261">
        <f t="shared" si="2"/>
        <v>51.8</v>
      </c>
      <c r="N28" s="1261">
        <f t="shared" si="2"/>
        <v>52.5</v>
      </c>
      <c r="O28" s="1261">
        <f t="shared" si="2"/>
        <v>51.8</v>
      </c>
      <c r="P28" s="1259" t="s">
        <v>283</v>
      </c>
      <c r="Q28" s="1259" t="s">
        <v>283</v>
      </c>
      <c r="R28" s="1259" t="s">
        <v>283</v>
      </c>
      <c r="S28" s="1259" t="s">
        <v>283</v>
      </c>
      <c r="T28" s="1259" t="s">
        <v>283</v>
      </c>
      <c r="U28" s="1259" t="s">
        <v>283</v>
      </c>
      <c r="V28" s="1259" t="s">
        <v>283</v>
      </c>
      <c r="W28" s="1259" t="s">
        <v>283</v>
      </c>
      <c r="X28" s="1259" t="s">
        <v>283</v>
      </c>
      <c r="Y28" s="1259" t="s">
        <v>283</v>
      </c>
      <c r="Z28" s="1259" t="s">
        <v>283</v>
      </c>
      <c r="AA28" s="1259" t="s">
        <v>283</v>
      </c>
      <c r="AB28" s="1252"/>
      <c r="AC28" s="1252"/>
      <c r="AD28" s="1252"/>
      <c r="AE28" s="1252"/>
      <c r="AF28" s="1252"/>
      <c r="AG28" s="1252"/>
      <c r="AH28" s="1252"/>
      <c r="AI28" s="1252"/>
      <c r="AJ28" s="1252"/>
      <c r="AK28" s="1252"/>
      <c r="AL28" s="1252"/>
      <c r="AM28" s="1252"/>
      <c r="AN28" s="1252"/>
      <c r="AO28" s="1252"/>
      <c r="AP28" s="1252"/>
      <c r="AQ28" s="1252"/>
      <c r="AR28" s="1252"/>
      <c r="AS28" s="1252"/>
      <c r="AT28" s="1252"/>
      <c r="AU28" s="1252"/>
      <c r="AV28" s="1252"/>
      <c r="AW28" s="1252"/>
      <c r="AX28" s="1252"/>
      <c r="AY28" s="1252"/>
      <c r="AZ28" s="1252"/>
      <c r="BA28" s="1252"/>
      <c r="BB28" s="1252"/>
      <c r="BC28" s="1252"/>
      <c r="BD28" s="1252"/>
      <c r="BE28" s="1252"/>
      <c r="BF28" s="1252"/>
      <c r="BG28" s="1252"/>
      <c r="BH28" s="1252"/>
      <c r="BI28" s="1252"/>
      <c r="BJ28" s="1252"/>
      <c r="BK28" s="1252"/>
      <c r="BL28" s="1252"/>
      <c r="BM28" s="1252"/>
      <c r="BN28" s="1252"/>
      <c r="BO28" s="1252"/>
      <c r="BP28" s="1252"/>
      <c r="BQ28" s="1252"/>
      <c r="BR28" s="1252"/>
      <c r="BS28" s="1252"/>
      <c r="BT28" s="1252"/>
      <c r="BU28" s="1252"/>
      <c r="BV28" s="1252"/>
      <c r="BW28" s="1252"/>
      <c r="BX28" s="1252"/>
      <c r="BY28" s="1252"/>
      <c r="BZ28" s="1252"/>
      <c r="CA28" s="1252"/>
      <c r="CB28" s="1252"/>
      <c r="CC28" s="1252"/>
      <c r="CD28" s="1252"/>
      <c r="CE28" s="1252"/>
      <c r="CF28" s="1252"/>
      <c r="CG28" s="1252"/>
      <c r="CH28" s="1252"/>
      <c r="CI28" s="1252"/>
      <c r="CJ28" s="1252"/>
      <c r="CK28" s="1252"/>
      <c r="CL28" s="1252"/>
      <c r="CM28" s="1252"/>
      <c r="CN28" s="1252"/>
      <c r="CO28" s="1252"/>
      <c r="CP28" s="1252"/>
      <c r="CQ28" s="1252"/>
      <c r="CR28" s="1252"/>
      <c r="CS28" s="1252"/>
      <c r="CT28" s="1252"/>
      <c r="CU28" s="1252"/>
      <c r="CV28" s="1252"/>
      <c r="CW28" s="1252"/>
      <c r="CX28" s="1252"/>
      <c r="CY28" s="1252"/>
      <c r="CZ28" s="1252"/>
      <c r="DA28" s="1252"/>
      <c r="DB28" s="1252"/>
      <c r="DC28" s="1252"/>
      <c r="DD28" s="1252"/>
      <c r="DE28" s="1252"/>
      <c r="DF28" s="1252"/>
      <c r="DG28" s="1252"/>
      <c r="DH28" s="1252"/>
      <c r="DI28" s="1252"/>
      <c r="DJ28" s="1252"/>
      <c r="DK28" s="1252"/>
      <c r="DL28" s="1252"/>
      <c r="DM28" s="1252"/>
      <c r="DN28" s="1252"/>
      <c r="DO28" s="1252"/>
      <c r="DP28" s="1252"/>
      <c r="DQ28" s="1252"/>
      <c r="DR28" s="1252"/>
      <c r="DS28" s="1252"/>
      <c r="DT28" s="1252"/>
      <c r="DU28" s="1252"/>
      <c r="DV28" s="1252"/>
      <c r="DW28" s="1252"/>
      <c r="DX28" s="1252"/>
      <c r="DY28" s="1252"/>
      <c r="DZ28" s="1252"/>
      <c r="EA28" s="1252"/>
      <c r="EB28" s="1252"/>
      <c r="EC28" s="1252"/>
      <c r="ED28" s="1252"/>
      <c r="EE28" s="1252"/>
      <c r="EF28" s="1252"/>
      <c r="EG28" s="1252"/>
      <c r="EH28" s="1252"/>
      <c r="EI28" s="1252"/>
      <c r="EJ28" s="1252"/>
      <c r="EK28" s="1252"/>
      <c r="EL28" s="1252"/>
      <c r="EM28" s="1252"/>
      <c r="EN28" s="1252"/>
      <c r="EO28" s="1252"/>
      <c r="EP28" s="1252"/>
      <c r="EQ28" s="1252"/>
      <c r="ER28" s="1252"/>
      <c r="ES28" s="1252"/>
      <c r="ET28" s="1252"/>
      <c r="EU28" s="1252"/>
      <c r="EV28" s="1252"/>
      <c r="EW28" s="1252"/>
      <c r="EX28" s="1252"/>
      <c r="EY28" s="1252"/>
      <c r="EZ28" s="1252"/>
      <c r="FA28" s="1252"/>
      <c r="FB28" s="1252"/>
      <c r="FC28" s="1252"/>
      <c r="FD28" s="1252"/>
      <c r="FE28" s="1252"/>
      <c r="FF28" s="1252"/>
      <c r="FG28" s="1252"/>
      <c r="FH28" s="1252"/>
      <c r="FI28" s="1252"/>
      <c r="FJ28" s="1252"/>
      <c r="FK28" s="1252"/>
      <c r="FL28" s="1252"/>
      <c r="FM28" s="1252"/>
      <c r="FN28" s="1252"/>
      <c r="FO28" s="1252"/>
      <c r="FP28" s="1252"/>
      <c r="FQ28" s="1252"/>
      <c r="FR28" s="1252"/>
      <c r="FS28" s="1252"/>
      <c r="FT28" s="1252"/>
      <c r="FU28" s="1252"/>
      <c r="FV28" s="1252"/>
      <c r="FW28" s="1252"/>
      <c r="FX28" s="1252"/>
      <c r="FY28" s="1252"/>
      <c r="FZ28" s="1252"/>
      <c r="GA28" s="1252"/>
      <c r="GB28" s="1252"/>
      <c r="GC28" s="1252"/>
      <c r="GD28" s="1252"/>
      <c r="GE28" s="1252"/>
      <c r="GF28" s="1252"/>
      <c r="GG28" s="1252"/>
      <c r="GH28" s="1252"/>
      <c r="GI28" s="1252"/>
      <c r="GJ28" s="1252"/>
      <c r="GK28" s="1252"/>
      <c r="GL28" s="1252"/>
      <c r="GM28" s="1252"/>
      <c r="GN28" s="1252"/>
      <c r="GO28" s="1252"/>
      <c r="GP28" s="1252"/>
      <c r="GQ28" s="1252"/>
      <c r="GR28" s="1252"/>
      <c r="GS28" s="1252"/>
      <c r="GT28" s="1252"/>
      <c r="GU28" s="1252"/>
      <c r="GV28" s="1252"/>
      <c r="GW28" s="1252"/>
      <c r="GX28" s="1252"/>
      <c r="GY28" s="1252"/>
      <c r="GZ28" s="1252"/>
      <c r="HA28" s="1252"/>
      <c r="HB28" s="1252"/>
      <c r="HC28" s="1252"/>
      <c r="HD28" s="1252"/>
      <c r="HE28" s="1252"/>
      <c r="HF28" s="1252"/>
      <c r="HG28" s="1252"/>
      <c r="HH28" s="1252"/>
      <c r="HI28" s="1252"/>
      <c r="HJ28" s="1252"/>
      <c r="HK28" s="1252"/>
      <c r="HL28" s="1252"/>
      <c r="HM28" s="1252"/>
      <c r="HN28" s="1252"/>
      <c r="HO28" s="1252"/>
      <c r="HP28" s="1252"/>
      <c r="HQ28" s="1252"/>
      <c r="HR28" s="1252"/>
      <c r="HS28" s="1252"/>
      <c r="HT28" s="1252"/>
      <c r="HU28" s="1252"/>
      <c r="HV28" s="1252"/>
      <c r="HW28" s="1252"/>
      <c r="HX28" s="1252"/>
      <c r="HY28" s="1252"/>
      <c r="HZ28" s="1252"/>
      <c r="IA28" s="1252"/>
      <c r="IB28" s="1252"/>
      <c r="IC28" s="1252"/>
      <c r="ID28" s="1252"/>
      <c r="IE28" s="1252"/>
      <c r="IF28" s="1252"/>
      <c r="IG28" s="1252"/>
      <c r="IH28" s="1252"/>
      <c r="II28" s="1252"/>
      <c r="IJ28" s="1252"/>
      <c r="IK28" s="1252"/>
      <c r="IL28" s="1252"/>
      <c r="IM28" s="1252"/>
      <c r="IN28" s="1252"/>
      <c r="IO28" s="1252"/>
      <c r="IP28" s="1252"/>
      <c r="IQ28" s="1252"/>
      <c r="IR28" s="1252"/>
      <c r="IS28" s="1252"/>
      <c r="IT28" s="1252"/>
      <c r="IU28" s="1252"/>
      <c r="IV28" s="1252"/>
    </row>
    <row r="29" spans="20:25" ht="12.75">
      <c r="T29" s="1368"/>
      <c r="U29" s="1368"/>
      <c r="V29" s="1235"/>
      <c r="W29" s="1235"/>
      <c r="X29" s="1235"/>
      <c r="Y29" s="1235"/>
    </row>
    <row r="30" spans="1:256" ht="12.75">
      <c r="A30" s="1262"/>
      <c r="B30" s="1263"/>
      <c r="C30" s="1263"/>
      <c r="D30" s="1263"/>
      <c r="E30" s="1263"/>
      <c r="F30" s="1263"/>
      <c r="G30" s="1263"/>
      <c r="H30" s="1263"/>
      <c r="I30" s="1263"/>
      <c r="J30" s="1263"/>
      <c r="K30" s="1263"/>
      <c r="L30" s="1263"/>
      <c r="M30" s="1263"/>
      <c r="N30" s="1263"/>
      <c r="O30" s="1263"/>
      <c r="P30" s="1264"/>
      <c r="Q30" s="1264"/>
      <c r="R30" s="1264"/>
      <c r="S30" s="1264"/>
      <c r="T30" s="1264"/>
      <c r="U30" s="1264"/>
      <c r="V30" s="1264"/>
      <c r="W30" s="1264"/>
      <c r="X30" s="1264"/>
      <c r="Y30" s="1264"/>
      <c r="Z30" s="1240"/>
      <c r="AA30" s="1240"/>
      <c r="AB30" s="1240"/>
      <c r="AC30" s="1240"/>
      <c r="AD30" s="1240"/>
      <c r="AE30" s="1240"/>
      <c r="AF30" s="1240"/>
      <c r="AG30" s="1240"/>
      <c r="AH30" s="1240"/>
      <c r="AI30" s="1240"/>
      <c r="AJ30" s="1240"/>
      <c r="AK30" s="1240"/>
      <c r="AL30" s="1240"/>
      <c r="AM30" s="1240"/>
      <c r="AN30" s="1240"/>
      <c r="AO30" s="1240"/>
      <c r="AP30" s="1240"/>
      <c r="AQ30" s="1240"/>
      <c r="AR30" s="1240"/>
      <c r="AS30" s="1240"/>
      <c r="AT30" s="1240"/>
      <c r="AU30" s="1240"/>
      <c r="AV30" s="1240"/>
      <c r="AW30" s="1240"/>
      <c r="AX30" s="1240"/>
      <c r="AY30" s="1240"/>
      <c r="AZ30" s="1240"/>
      <c r="BA30" s="1240"/>
      <c r="BB30" s="1240"/>
      <c r="BC30" s="1240"/>
      <c r="BD30" s="1240"/>
      <c r="BE30" s="1240"/>
      <c r="BF30" s="1240"/>
      <c r="BG30" s="1240"/>
      <c r="BH30" s="1240"/>
      <c r="BI30" s="1240"/>
      <c r="BJ30" s="1240"/>
      <c r="BK30" s="1240"/>
      <c r="BL30" s="1240"/>
      <c r="BM30" s="1240"/>
      <c r="BN30" s="1240"/>
      <c r="BO30" s="1240"/>
      <c r="BP30" s="1240"/>
      <c r="BQ30" s="1240"/>
      <c r="BR30" s="1240"/>
      <c r="BS30" s="1240"/>
      <c r="BT30" s="1240"/>
      <c r="BU30" s="1240"/>
      <c r="BV30" s="1240"/>
      <c r="BW30" s="1240"/>
      <c r="BX30" s="1240"/>
      <c r="BY30" s="1240"/>
      <c r="BZ30" s="1240"/>
      <c r="CA30" s="1240"/>
      <c r="CB30" s="1240"/>
      <c r="CC30" s="1240"/>
      <c r="CD30" s="1240"/>
      <c r="CE30" s="1240"/>
      <c r="CF30" s="1240"/>
      <c r="CG30" s="1240"/>
      <c r="CH30" s="1240"/>
      <c r="CI30" s="1240"/>
      <c r="CJ30" s="1240"/>
      <c r="CK30" s="1240"/>
      <c r="CL30" s="1240"/>
      <c r="CM30" s="1240"/>
      <c r="CN30" s="1240"/>
      <c r="CO30" s="1240"/>
      <c r="CP30" s="1240"/>
      <c r="CQ30" s="1240"/>
      <c r="CR30" s="1240"/>
      <c r="CS30" s="1240"/>
      <c r="CT30" s="1240"/>
      <c r="CU30" s="1240"/>
      <c r="CV30" s="1240"/>
      <c r="CW30" s="1240"/>
      <c r="CX30" s="1240"/>
      <c r="CY30" s="1240"/>
      <c r="CZ30" s="1240"/>
      <c r="DA30" s="1240"/>
      <c r="DB30" s="1240"/>
      <c r="DC30" s="1240"/>
      <c r="DD30" s="1240"/>
      <c r="DE30" s="1240"/>
      <c r="DF30" s="1240"/>
      <c r="DG30" s="1240"/>
      <c r="DH30" s="1240"/>
      <c r="DI30" s="1240"/>
      <c r="DJ30" s="1240"/>
      <c r="DK30" s="1240"/>
      <c r="DL30" s="1240"/>
      <c r="DM30" s="1240"/>
      <c r="DN30" s="1240"/>
      <c r="DO30" s="1240"/>
      <c r="DP30" s="1240"/>
      <c r="DQ30" s="1240"/>
      <c r="DR30" s="1240"/>
      <c r="DS30" s="1240"/>
      <c r="DT30" s="1240"/>
      <c r="DU30" s="1240"/>
      <c r="DV30" s="1240"/>
      <c r="DW30" s="1240"/>
      <c r="DX30" s="1240"/>
      <c r="DY30" s="1240"/>
      <c r="DZ30" s="1240"/>
      <c r="EA30" s="1240"/>
      <c r="EB30" s="1240"/>
      <c r="EC30" s="1240"/>
      <c r="ED30" s="1240"/>
      <c r="EE30" s="1240"/>
      <c r="EF30" s="1240"/>
      <c r="EG30" s="1240"/>
      <c r="EH30" s="1240"/>
      <c r="EI30" s="1240"/>
      <c r="EJ30" s="1240"/>
      <c r="EK30" s="1240"/>
      <c r="EL30" s="1240"/>
      <c r="EM30" s="1240"/>
      <c r="EN30" s="1240"/>
      <c r="EO30" s="1240"/>
      <c r="EP30" s="1240"/>
      <c r="EQ30" s="1240"/>
      <c r="ER30" s="1240"/>
      <c r="ES30" s="1240"/>
      <c r="ET30" s="1240"/>
      <c r="EU30" s="1240"/>
      <c r="EV30" s="1240"/>
      <c r="EW30" s="1240"/>
      <c r="EX30" s="1240"/>
      <c r="EY30" s="1240"/>
      <c r="EZ30" s="1240"/>
      <c r="FA30" s="1240"/>
      <c r="FB30" s="1240"/>
      <c r="FC30" s="1240"/>
      <c r="FD30" s="1240"/>
      <c r="FE30" s="1240"/>
      <c r="FF30" s="1240"/>
      <c r="FG30" s="1240"/>
      <c r="FH30" s="1240"/>
      <c r="FI30" s="1240"/>
      <c r="FJ30" s="1240"/>
      <c r="FK30" s="1240"/>
      <c r="FL30" s="1240"/>
      <c r="FM30" s="1240"/>
      <c r="FN30" s="1240"/>
      <c r="FO30" s="1240"/>
      <c r="FP30" s="1240"/>
      <c r="FQ30" s="1240"/>
      <c r="FR30" s="1240"/>
      <c r="FS30" s="1240"/>
      <c r="FT30" s="1240"/>
      <c r="FU30" s="1240"/>
      <c r="FV30" s="1240"/>
      <c r="FW30" s="1240"/>
      <c r="FX30" s="1240"/>
      <c r="FY30" s="1240"/>
      <c r="FZ30" s="1240"/>
      <c r="GA30" s="1240"/>
      <c r="GB30" s="1240"/>
      <c r="GC30" s="1240"/>
      <c r="GD30" s="1240"/>
      <c r="GE30" s="1240"/>
      <c r="GF30" s="1240"/>
      <c r="GG30" s="1240"/>
      <c r="GH30" s="1240"/>
      <c r="GI30" s="1240"/>
      <c r="GJ30" s="1240"/>
      <c r="GK30" s="1240"/>
      <c r="GL30" s="1240"/>
      <c r="GM30" s="1240"/>
      <c r="GN30" s="1240"/>
      <c r="GO30" s="1240"/>
      <c r="GP30" s="1240"/>
      <c r="GQ30" s="1240"/>
      <c r="GR30" s="1240"/>
      <c r="GS30" s="1240"/>
      <c r="GT30" s="1240"/>
      <c r="GU30" s="1240"/>
      <c r="GV30" s="1240"/>
      <c r="GW30" s="1240"/>
      <c r="GX30" s="1240"/>
      <c r="GY30" s="1240"/>
      <c r="GZ30" s="1240"/>
      <c r="HA30" s="1240"/>
      <c r="HB30" s="1240"/>
      <c r="HC30" s="1240"/>
      <c r="HD30" s="1240"/>
      <c r="HE30" s="1240"/>
      <c r="HF30" s="1240"/>
      <c r="HG30" s="1240"/>
      <c r="HH30" s="1240"/>
      <c r="HI30" s="1240"/>
      <c r="HJ30" s="1240"/>
      <c r="HK30" s="1240"/>
      <c r="HL30" s="1240"/>
      <c r="HM30" s="1240"/>
      <c r="HN30" s="1240"/>
      <c r="HO30" s="1240"/>
      <c r="HP30" s="1240"/>
      <c r="HQ30" s="1240"/>
      <c r="HR30" s="1240"/>
      <c r="HS30" s="1240"/>
      <c r="HT30" s="1240"/>
      <c r="HU30" s="1240"/>
      <c r="HV30" s="1240"/>
      <c r="HW30" s="1240"/>
      <c r="HX30" s="1240"/>
      <c r="HY30" s="1240"/>
      <c r="HZ30" s="1240"/>
      <c r="IA30" s="1240"/>
      <c r="IB30" s="1240"/>
      <c r="IC30" s="1240"/>
      <c r="ID30" s="1240"/>
      <c r="IE30" s="1240"/>
      <c r="IF30" s="1240"/>
      <c r="IG30" s="1240"/>
      <c r="IH30" s="1240"/>
      <c r="II30" s="1240"/>
      <c r="IJ30" s="1240"/>
      <c r="IK30" s="1240"/>
      <c r="IL30" s="1240"/>
      <c r="IM30" s="1240"/>
      <c r="IN30" s="1240"/>
      <c r="IO30" s="1240"/>
      <c r="IP30" s="1240"/>
      <c r="IQ30" s="1240"/>
      <c r="IR30" s="1240"/>
      <c r="IS30" s="1240"/>
      <c r="IT30" s="1240"/>
      <c r="IU30" s="1240"/>
      <c r="IV30" s="1240"/>
    </row>
    <row r="31" spans="1:256" ht="15.75">
      <c r="A31" s="1265"/>
      <c r="B31" s="1228"/>
      <c r="C31" s="1265"/>
      <c r="D31" s="1265"/>
      <c r="E31" s="1265"/>
      <c r="F31" s="1265"/>
      <c r="G31" s="1265"/>
      <c r="H31" s="1265"/>
      <c r="I31" s="1265"/>
      <c r="J31" s="1265"/>
      <c r="K31" s="1265"/>
      <c r="L31" s="1265"/>
      <c r="M31" s="1265"/>
      <c r="N31" s="1265"/>
      <c r="O31" s="1265"/>
      <c r="P31" s="1265"/>
      <c r="Q31" s="1265"/>
      <c r="R31" s="1265"/>
      <c r="S31" s="1265"/>
      <c r="T31" s="1265"/>
      <c r="U31" s="1265"/>
      <c r="V31" s="1265"/>
      <c r="W31" s="1265"/>
      <c r="X31" s="1265"/>
      <c r="Y31" s="1265"/>
      <c r="Z31" s="1265"/>
      <c r="AA31" s="1265"/>
      <c r="AB31" s="1265"/>
      <c r="AC31" s="1265"/>
      <c r="AD31" s="1265"/>
      <c r="AE31" s="1265"/>
      <c r="AF31" s="1265"/>
      <c r="AG31" s="1265"/>
      <c r="AH31" s="1265"/>
      <c r="AI31" s="1265"/>
      <c r="AJ31" s="1265"/>
      <c r="AK31" s="1265"/>
      <c r="AL31" s="1265"/>
      <c r="AM31" s="1265"/>
      <c r="AN31" s="1265"/>
      <c r="AO31" s="1265"/>
      <c r="AP31" s="1265"/>
      <c r="AQ31" s="1265"/>
      <c r="AR31" s="1265"/>
      <c r="AS31" s="1265"/>
      <c r="AT31" s="1265"/>
      <c r="AU31" s="1265"/>
      <c r="AV31" s="1265"/>
      <c r="AW31" s="1265"/>
      <c r="AX31" s="1265"/>
      <c r="AY31" s="1265"/>
      <c r="AZ31" s="1265"/>
      <c r="BA31" s="1265"/>
      <c r="BB31" s="1265"/>
      <c r="BC31" s="1265"/>
      <c r="BD31" s="1265"/>
      <c r="BE31" s="1265"/>
      <c r="BF31" s="1265"/>
      <c r="BG31" s="1265"/>
      <c r="BH31" s="1265"/>
      <c r="BI31" s="1265"/>
      <c r="BJ31" s="1265"/>
      <c r="BK31" s="1265"/>
      <c r="BL31" s="1265"/>
      <c r="BM31" s="1265"/>
      <c r="BN31" s="1265"/>
      <c r="BO31" s="1265"/>
      <c r="BP31" s="1265"/>
      <c r="BQ31" s="1265"/>
      <c r="BR31" s="1265"/>
      <c r="BS31" s="1265"/>
      <c r="BT31" s="1265"/>
      <c r="BU31" s="1265"/>
      <c r="BV31" s="1265"/>
      <c r="BW31" s="1265"/>
      <c r="BX31" s="1265"/>
      <c r="BY31" s="1265"/>
      <c r="BZ31" s="1265"/>
      <c r="CA31" s="1265"/>
      <c r="CB31" s="1265"/>
      <c r="CC31" s="1265"/>
      <c r="CD31" s="1265"/>
      <c r="CE31" s="1265"/>
      <c r="CF31" s="1265"/>
      <c r="CG31" s="1265"/>
      <c r="CH31" s="1265"/>
      <c r="CI31" s="1265"/>
      <c r="CJ31" s="1265"/>
      <c r="CK31" s="1265"/>
      <c r="CL31" s="1265"/>
      <c r="CM31" s="1265"/>
      <c r="CN31" s="1265"/>
      <c r="CO31" s="1265"/>
      <c r="CP31" s="1265"/>
      <c r="CQ31" s="1265"/>
      <c r="CR31" s="1265"/>
      <c r="CS31" s="1265"/>
      <c r="CT31" s="1265"/>
      <c r="CU31" s="1265"/>
      <c r="CV31" s="1265"/>
      <c r="CW31" s="1265"/>
      <c r="CX31" s="1265"/>
      <c r="CY31" s="1265"/>
      <c r="CZ31" s="1265"/>
      <c r="DA31" s="1265"/>
      <c r="DB31" s="1265"/>
      <c r="DC31" s="1265"/>
      <c r="DD31" s="1265"/>
      <c r="DE31" s="1265"/>
      <c r="DF31" s="1265"/>
      <c r="DG31" s="1265"/>
      <c r="DH31" s="1265"/>
      <c r="DI31" s="1265"/>
      <c r="DJ31" s="1265"/>
      <c r="DK31" s="1265"/>
      <c r="DL31" s="1265"/>
      <c r="DM31" s="1265"/>
      <c r="DN31" s="1265"/>
      <c r="DO31" s="1265"/>
      <c r="DP31" s="1265"/>
      <c r="DQ31" s="1265"/>
      <c r="DR31" s="1265"/>
      <c r="DS31" s="1265"/>
      <c r="DT31" s="1265"/>
      <c r="DU31" s="1265"/>
      <c r="DV31" s="1265"/>
      <c r="DW31" s="1265"/>
      <c r="DX31" s="1265"/>
      <c r="DY31" s="1265"/>
      <c r="DZ31" s="1265"/>
      <c r="EA31" s="1265"/>
      <c r="EB31" s="1265"/>
      <c r="EC31" s="1265"/>
      <c r="ED31" s="1265"/>
      <c r="EE31" s="1265"/>
      <c r="EF31" s="1265"/>
      <c r="EG31" s="1265"/>
      <c r="EH31" s="1265"/>
      <c r="EI31" s="1265"/>
      <c r="EJ31" s="1265"/>
      <c r="EK31" s="1265"/>
      <c r="EL31" s="1265"/>
      <c r="EM31" s="1265"/>
      <c r="EN31" s="1265"/>
      <c r="EO31" s="1265"/>
      <c r="EP31" s="1265"/>
      <c r="EQ31" s="1265"/>
      <c r="ER31" s="1265"/>
      <c r="ES31" s="1265"/>
      <c r="ET31" s="1265"/>
      <c r="EU31" s="1265"/>
      <c r="EV31" s="1265"/>
      <c r="EW31" s="1265"/>
      <c r="EX31" s="1265"/>
      <c r="EY31" s="1265"/>
      <c r="EZ31" s="1265"/>
      <c r="FA31" s="1265"/>
      <c r="FB31" s="1265"/>
      <c r="FC31" s="1265"/>
      <c r="FD31" s="1265"/>
      <c r="FE31" s="1265"/>
      <c r="FF31" s="1265"/>
      <c r="FG31" s="1265"/>
      <c r="FH31" s="1265"/>
      <c r="FI31" s="1265"/>
      <c r="FJ31" s="1265"/>
      <c r="FK31" s="1265"/>
      <c r="FL31" s="1265"/>
      <c r="FM31" s="1265"/>
      <c r="FN31" s="1265"/>
      <c r="FO31" s="1265"/>
      <c r="FP31" s="1265"/>
      <c r="FQ31" s="1265"/>
      <c r="FR31" s="1265"/>
      <c r="FS31" s="1265"/>
      <c r="FT31" s="1265"/>
      <c r="FU31" s="1265"/>
      <c r="FV31" s="1265"/>
      <c r="FW31" s="1265"/>
      <c r="FX31" s="1265"/>
      <c r="FY31" s="1265"/>
      <c r="FZ31" s="1265"/>
      <c r="GA31" s="1265"/>
      <c r="GB31" s="1265"/>
      <c r="GC31" s="1265"/>
      <c r="GD31" s="1265"/>
      <c r="GE31" s="1265"/>
      <c r="GF31" s="1265"/>
      <c r="GG31" s="1265"/>
      <c r="GH31" s="1265"/>
      <c r="GI31" s="1265"/>
      <c r="GJ31" s="1265"/>
      <c r="GK31" s="1265"/>
      <c r="GL31" s="1265"/>
      <c r="GM31" s="1265"/>
      <c r="GN31" s="1265"/>
      <c r="GO31" s="1265"/>
      <c r="GP31" s="1265"/>
      <c r="GQ31" s="1265"/>
      <c r="GR31" s="1265"/>
      <c r="GS31" s="1265"/>
      <c r="GT31" s="1265"/>
      <c r="GU31" s="1265"/>
      <c r="GV31" s="1265"/>
      <c r="GW31" s="1265"/>
      <c r="GX31" s="1265"/>
      <c r="GY31" s="1265"/>
      <c r="GZ31" s="1265"/>
      <c r="HA31" s="1265"/>
      <c r="HB31" s="1265"/>
      <c r="HC31" s="1265"/>
      <c r="HD31" s="1265"/>
      <c r="HE31" s="1265"/>
      <c r="HF31" s="1265"/>
      <c r="HG31" s="1265"/>
      <c r="HH31" s="1265"/>
      <c r="HI31" s="1265"/>
      <c r="HJ31" s="1265"/>
      <c r="HK31" s="1265"/>
      <c r="HL31" s="1265"/>
      <c r="HM31" s="1265"/>
      <c r="HN31" s="1265"/>
      <c r="HO31" s="1265"/>
      <c r="HP31" s="1265"/>
      <c r="HQ31" s="1265"/>
      <c r="HR31" s="1265"/>
      <c r="HS31" s="1265"/>
      <c r="HT31" s="1265"/>
      <c r="HU31" s="1265"/>
      <c r="HV31" s="1265"/>
      <c r="HW31" s="1265"/>
      <c r="HX31" s="1265"/>
      <c r="HY31" s="1265"/>
      <c r="HZ31" s="1265"/>
      <c r="IA31" s="1265"/>
      <c r="IB31" s="1265"/>
      <c r="IC31" s="1265"/>
      <c r="ID31" s="1265"/>
      <c r="IE31" s="1265"/>
      <c r="IF31" s="1265"/>
      <c r="IG31" s="1265"/>
      <c r="IH31" s="1265"/>
      <c r="II31" s="1265"/>
      <c r="IJ31" s="1265"/>
      <c r="IK31" s="1265"/>
      <c r="IL31" s="1265"/>
      <c r="IM31" s="1265"/>
      <c r="IN31" s="1265"/>
      <c r="IO31" s="1265"/>
      <c r="IP31" s="1265"/>
      <c r="IQ31" s="1265"/>
      <c r="IR31" s="1265"/>
      <c r="IS31" s="1265"/>
      <c r="IT31" s="1265"/>
      <c r="IU31" s="1265"/>
      <c r="IV31" s="1265"/>
    </row>
    <row r="32" spans="3:21" ht="15.75">
      <c r="C32" s="1228" t="s">
        <v>1275</v>
      </c>
      <c r="D32" s="1266"/>
      <c r="E32" s="1228"/>
      <c r="F32" s="1369"/>
      <c r="G32" s="1369"/>
      <c r="H32" s="1369"/>
      <c r="I32" s="1228"/>
      <c r="J32" s="1228"/>
      <c r="K32" s="1228"/>
      <c r="L32" s="1228"/>
      <c r="M32" s="1228"/>
      <c r="N32" s="1228"/>
      <c r="O32" s="1228"/>
      <c r="P32" s="1228"/>
      <c r="T32" s="1228"/>
      <c r="U32" s="1228"/>
    </row>
    <row r="33" ht="12.75">
      <c r="G33" s="1224" t="s">
        <v>1276</v>
      </c>
    </row>
  </sheetData>
  <sheetProtection password="CF4E" sheet="1" objects="1" scenarios="1" formatColumns="0"/>
  <mergeCells count="35">
    <mergeCell ref="L18:M18"/>
    <mergeCell ref="T29:U29"/>
    <mergeCell ref="F32:H32"/>
    <mergeCell ref="C18:C20"/>
    <mergeCell ref="D18:D19"/>
    <mergeCell ref="E18:E19"/>
    <mergeCell ref="F18:G18"/>
    <mergeCell ref="H18:I18"/>
    <mergeCell ref="J18:K18"/>
    <mergeCell ref="P15:AA15"/>
    <mergeCell ref="P16:Q16"/>
    <mergeCell ref="R16:U16"/>
    <mergeCell ref="V16:AA16"/>
    <mergeCell ref="P17:Q18"/>
    <mergeCell ref="R17:S18"/>
    <mergeCell ref="T17:U18"/>
    <mergeCell ref="V17:W18"/>
    <mergeCell ref="X17:Y18"/>
    <mergeCell ref="Z17:AA18"/>
    <mergeCell ref="C10:G10"/>
    <mergeCell ref="H10:P10"/>
    <mergeCell ref="C12:G12"/>
    <mergeCell ref="H12:P12"/>
    <mergeCell ref="T14:U14"/>
    <mergeCell ref="A15:A20"/>
    <mergeCell ref="B15:B20"/>
    <mergeCell ref="C15:E17"/>
    <mergeCell ref="F15:M17"/>
    <mergeCell ref="N15:O18"/>
    <mergeCell ref="W1:Y1"/>
    <mergeCell ref="W2:Y2"/>
    <mergeCell ref="W3:Y3"/>
    <mergeCell ref="W4:Y4"/>
    <mergeCell ref="A8:AA8"/>
    <mergeCell ref="A9:AA9"/>
  </mergeCells>
  <dataValidations count="2">
    <dataValidation type="list" allowBlank="1" showInputMessage="1" showErrorMessage="1" sqref="C22:C27">
      <formula1>"ВЗУ (шт.), ВНС (шт.), Станции обезжелезивания (шт.), Станции очистки (шт.), Протяженность сетей (км.), Иное"</formula1>
    </dataValidation>
    <dataValidation type="list" allowBlank="1" showInputMessage="1" showErrorMessage="1" sqref="F18:G18">
      <formula1>"капитальные вложения, за счет прибыли"</formula1>
    </dataValidation>
  </dataValidations>
  <printOptions/>
  <pageMargins left="0.25" right="0.25" top="0.75" bottom="0.75" header="0.3" footer="0.3"/>
  <pageSetup fitToWidth="0" fitToHeight="1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B1:O13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26.8515625" style="0" customWidth="1"/>
    <col min="3" max="3" width="14.00390625" style="1268" customWidth="1"/>
    <col min="4" max="10" width="13.421875" style="1268" customWidth="1"/>
    <col min="11" max="12" width="13.421875" style="0" customWidth="1"/>
  </cols>
  <sheetData>
    <row r="1" spans="2:12" ht="33" customHeight="1">
      <c r="B1" s="1379" t="s">
        <v>1277</v>
      </c>
      <c r="C1" s="1379"/>
      <c r="D1" s="1379"/>
      <c r="E1" s="1379"/>
      <c r="F1" s="1379"/>
      <c r="G1" s="1379"/>
      <c r="H1" s="1379"/>
      <c r="I1" s="1379"/>
      <c r="J1" s="1379"/>
      <c r="K1" s="1267"/>
      <c r="L1" s="1267"/>
    </row>
    <row r="2" spans="2:15" ht="21" customHeight="1">
      <c r="B2" s="1320" t="str">
        <f>Титульный!B10</f>
        <v>ООО "Дирекция Голицыно-3"</v>
      </c>
      <c r="C2" s="1320"/>
      <c r="D2" s="1320"/>
      <c r="E2" s="1320"/>
      <c r="F2" s="1320"/>
      <c r="G2" s="1320"/>
      <c r="H2" s="1320"/>
      <c r="I2" s="1320"/>
      <c r="J2" s="1320"/>
      <c r="K2" s="1232"/>
      <c r="L2" s="1232"/>
      <c r="M2" s="1232"/>
      <c r="N2" s="1232"/>
      <c r="O2" s="1232"/>
    </row>
    <row r="3" spans="2:15" ht="21" customHeight="1">
      <c r="B3" s="1320" t="str">
        <f>Титульный!B11</f>
        <v>Наро-Фоминский м.р.</v>
      </c>
      <c r="C3" s="1320"/>
      <c r="D3" s="1320"/>
      <c r="E3" s="1320"/>
      <c r="F3" s="1320"/>
      <c r="G3" s="1320"/>
      <c r="H3" s="1320"/>
      <c r="I3" s="1320"/>
      <c r="J3" s="1320"/>
      <c r="K3" s="1232"/>
      <c r="L3" s="1232"/>
      <c r="M3" s="1232"/>
      <c r="N3" s="1232"/>
      <c r="O3" s="1232"/>
    </row>
    <row r="4" ht="15.75" thickBot="1"/>
    <row r="5" spans="2:10" s="1269" customFormat="1" ht="40.5" customHeight="1">
      <c r="B5" s="1380" t="s">
        <v>1278</v>
      </c>
      <c r="C5" s="1382" t="s">
        <v>1279</v>
      </c>
      <c r="D5" s="1383"/>
      <c r="E5" s="1384" t="s">
        <v>1280</v>
      </c>
      <c r="F5" s="1385"/>
      <c r="G5" s="1384" t="s">
        <v>1281</v>
      </c>
      <c r="H5" s="1385"/>
      <c r="I5" s="1384" t="s">
        <v>1282</v>
      </c>
      <c r="J5" s="1386"/>
    </row>
    <row r="6" spans="2:10" s="1269" customFormat="1" ht="39.75" customHeight="1" thickBot="1">
      <c r="B6" s="1381"/>
      <c r="C6" s="1270" t="s">
        <v>1283</v>
      </c>
      <c r="D6" s="1270" t="s">
        <v>1284</v>
      </c>
      <c r="E6" s="1270" t="s">
        <v>1283</v>
      </c>
      <c r="F6" s="1270" t="s">
        <v>1284</v>
      </c>
      <c r="G6" s="1270" t="s">
        <v>1283</v>
      </c>
      <c r="H6" s="1270" t="s">
        <v>1284</v>
      </c>
      <c r="I6" s="1270" t="s">
        <v>1283</v>
      </c>
      <c r="J6" s="1271" t="s">
        <v>1284</v>
      </c>
    </row>
    <row r="7" spans="2:10" s="1275" customFormat="1" ht="24" customHeight="1">
      <c r="B7" s="1272" t="s">
        <v>453</v>
      </c>
      <c r="C7" s="1273"/>
      <c r="D7" s="1273"/>
      <c r="E7" s="1273"/>
      <c r="F7" s="1273"/>
      <c r="G7" s="1273">
        <v>92.235</v>
      </c>
      <c r="H7" s="1273">
        <v>96.007</v>
      </c>
      <c r="I7" s="1273">
        <v>-1235.75</v>
      </c>
      <c r="J7" s="1274">
        <v>-1181.53</v>
      </c>
    </row>
    <row r="8" spans="2:10" s="1275" customFormat="1" ht="28.5" customHeight="1" thickBot="1">
      <c r="B8" s="1276" t="s">
        <v>455</v>
      </c>
      <c r="C8" s="1277"/>
      <c r="D8" s="1277"/>
      <c r="E8" s="1277"/>
      <c r="F8" s="1277"/>
      <c r="G8" s="1277">
        <v>8.139</v>
      </c>
      <c r="H8" s="1277">
        <v>92.681</v>
      </c>
      <c r="I8" s="1277">
        <v>-528.5</v>
      </c>
      <c r="J8" s="1278">
        <v>-1148.35</v>
      </c>
    </row>
    <row r="9" spans="2:10" ht="35.25" customHeight="1" thickBot="1">
      <c r="B9" s="1279" t="s">
        <v>1285</v>
      </c>
      <c r="C9" s="1280">
        <v>34.261</v>
      </c>
      <c r="D9" s="1280">
        <v>594.541</v>
      </c>
      <c r="E9" s="1280">
        <v>1081</v>
      </c>
      <c r="F9" s="1280">
        <v>1820</v>
      </c>
      <c r="G9" s="1280">
        <v>3625</v>
      </c>
      <c r="H9" s="1280">
        <v>3642</v>
      </c>
      <c r="I9" s="1280">
        <v>838</v>
      </c>
      <c r="J9" s="1281">
        <v>1428</v>
      </c>
    </row>
    <row r="10" spans="3:10" s="1275" customFormat="1" ht="21.75" customHeight="1">
      <c r="C10" s="1282"/>
      <c r="D10" s="1282"/>
      <c r="E10" s="1282"/>
      <c r="F10" s="1282"/>
      <c r="G10" s="1282"/>
      <c r="H10" s="1282"/>
      <c r="I10" s="1282"/>
      <c r="J10" s="1282"/>
    </row>
    <row r="11" spans="3:10" s="1275" customFormat="1" ht="15">
      <c r="C11" s="1282"/>
      <c r="D11" s="1282"/>
      <c r="E11" s="1282"/>
      <c r="F11" s="1282"/>
      <c r="G11" s="1282"/>
      <c r="H11" s="1282"/>
      <c r="I11" s="1282"/>
      <c r="J11" s="1282"/>
    </row>
    <row r="12" spans="2:4" ht="27" customHeight="1">
      <c r="B12" s="1377" t="s">
        <v>1286</v>
      </c>
      <c r="C12" s="1378"/>
      <c r="D12" s="1378"/>
    </row>
    <row r="13" spans="2:4" ht="15">
      <c r="B13" s="83"/>
      <c r="C13" s="1283"/>
      <c r="D13" s="1283" t="s">
        <v>1287</v>
      </c>
    </row>
  </sheetData>
  <sheetProtection password="CF4E" sheet="1" objects="1" scenarios="1" formatColumns="0"/>
  <mergeCells count="9">
    <mergeCell ref="B12:D12"/>
    <mergeCell ref="B1:J1"/>
    <mergeCell ref="B2:J2"/>
    <mergeCell ref="B3:J3"/>
    <mergeCell ref="B5:B6"/>
    <mergeCell ref="C5:D5"/>
    <mergeCell ref="E5:F5"/>
    <mergeCell ref="G5:H5"/>
    <mergeCell ref="I5:J5"/>
  </mergeCells>
  <printOptions/>
  <pageMargins left="0.25" right="0.25" top="0.75" bottom="0.75" header="0.3" footer="0.3"/>
  <pageSetup fitToHeight="1" fitToWidth="1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87"/>
  <sheetViews>
    <sheetView showGridLines="0" zoomScale="85" zoomScaleNormal="85" zoomScaleSheetLayoutView="85" zoomScalePageLayoutView="0" workbookViewId="0" topLeftCell="A67">
      <selection activeCell="B86" sqref="B86:C86"/>
    </sheetView>
  </sheetViews>
  <sheetFormatPr defaultColWidth="9.140625" defaultRowHeight="15"/>
  <cols>
    <col min="1" max="1" width="9.140625" style="698" customWidth="1"/>
    <col min="2" max="2" width="51.421875" style="699" customWidth="1"/>
    <col min="3" max="3" width="41.00390625" style="699" customWidth="1"/>
    <col min="4" max="4" width="12.57421875" style="699" customWidth="1"/>
    <col min="5" max="5" width="18.8515625" style="699" customWidth="1"/>
    <col min="6" max="6" width="19.421875" style="703" customWidth="1"/>
    <col min="7" max="10" width="19.421875" style="703" hidden="1" customWidth="1"/>
    <col min="11" max="11" width="30.8515625" style="712" customWidth="1"/>
    <col min="12" max="16384" width="9.140625" style="699" customWidth="1"/>
  </cols>
  <sheetData>
    <row r="1" spans="6:11" ht="15.75" customHeight="1">
      <c r="F1" s="700" t="s">
        <v>0</v>
      </c>
      <c r="G1" s="255"/>
      <c r="H1" s="257"/>
      <c r="J1" s="257"/>
      <c r="K1" s="701"/>
    </row>
    <row r="2" spans="6:11" ht="15.75">
      <c r="F2" s="701" t="s">
        <v>867</v>
      </c>
      <c r="G2" s="258"/>
      <c r="H2" s="1"/>
      <c r="J2" s="259"/>
      <c r="K2" s="702"/>
    </row>
    <row r="3" spans="6:11" ht="15.75">
      <c r="F3" s="1006" t="str">
        <f>MID(Титульный!$B$47,1,SEARCH(" ",Титульный!$B$47)-1)&amp;" "&amp;MID(Титульный!$B$47,SEARCH(" ",Титульный!$B$47)+1,1)&amp;"."&amp;MID(Титульный!$B$47,SEARCH(" ",Титульный!$B$47,SEARCH(" ",Титульный!$B$47)+1)+1,1)&amp;"."</f>
        <v>Седов Ю.В.</v>
      </c>
      <c r="G3" s="260"/>
      <c r="H3" s="1"/>
      <c r="J3" s="259"/>
      <c r="K3" s="704"/>
    </row>
    <row r="4" spans="6:11" ht="15.75" customHeight="1">
      <c r="F4" s="704" t="s">
        <v>868</v>
      </c>
      <c r="G4" s="255"/>
      <c r="H4" s="257"/>
      <c r="J4" s="257"/>
      <c r="K4" s="705"/>
    </row>
    <row r="5" spans="6:11" ht="15.75">
      <c r="F5" s="705" t="s">
        <v>869</v>
      </c>
      <c r="G5" s="705"/>
      <c r="H5" s="706"/>
      <c r="J5" s="705"/>
      <c r="K5" s="707"/>
    </row>
    <row r="6" spans="6:11" ht="15.75">
      <c r="F6" s="707" t="s">
        <v>219</v>
      </c>
      <c r="G6" s="705"/>
      <c r="H6" s="706"/>
      <c r="J6" s="705"/>
      <c r="K6" s="707"/>
    </row>
    <row r="7" spans="7:11" ht="15.75">
      <c r="G7" s="705"/>
      <c r="H7" s="706"/>
      <c r="I7" s="706"/>
      <c r="J7" s="705"/>
      <c r="K7" s="707"/>
    </row>
    <row r="8" spans="1:14" ht="21" customHeight="1">
      <c r="A8" s="1474" t="s">
        <v>870</v>
      </c>
      <c r="B8" s="1474"/>
      <c r="C8" s="1474"/>
      <c r="D8" s="1474"/>
      <c r="E8" s="1474"/>
      <c r="F8" s="1474"/>
      <c r="G8" s="954"/>
      <c r="H8" s="954"/>
      <c r="I8" s="954"/>
      <c r="J8" s="954"/>
      <c r="K8" s="708"/>
      <c r="L8" s="709"/>
      <c r="M8" s="709"/>
      <c r="N8" s="709"/>
    </row>
    <row r="9" spans="2:14" ht="20.25">
      <c r="B9" s="1493"/>
      <c r="C9" s="1493"/>
      <c r="D9" s="1493"/>
      <c r="E9" s="1493"/>
      <c r="F9" s="1493"/>
      <c r="G9" s="710"/>
      <c r="H9" s="710"/>
      <c r="I9" s="710"/>
      <c r="J9" s="710"/>
      <c r="K9" s="708"/>
      <c r="L9" s="709"/>
      <c r="M9" s="709"/>
      <c r="N9" s="709"/>
    </row>
    <row r="10" spans="1:14" ht="16.5" customHeight="1">
      <c r="A10" s="1475" t="str">
        <f>Титульный!$B$10</f>
        <v>ООО "Дирекция Голицыно-3"</v>
      </c>
      <c r="B10" s="1475"/>
      <c r="C10" s="1475"/>
      <c r="D10" s="1475"/>
      <c r="E10" s="1475"/>
      <c r="F10" s="1475"/>
      <c r="G10" s="955"/>
      <c r="H10" s="955"/>
      <c r="I10" s="955"/>
      <c r="J10" s="955"/>
      <c r="K10" s="708"/>
      <c r="L10" s="709"/>
      <c r="M10" s="709"/>
      <c r="N10" s="709"/>
    </row>
    <row r="11" spans="2:14" ht="20.25">
      <c r="B11" s="1493"/>
      <c r="C11" s="1493"/>
      <c r="D11" s="1493"/>
      <c r="E11" s="1493"/>
      <c r="F11" s="1493"/>
      <c r="G11" s="710"/>
      <c r="H11" s="710"/>
      <c r="I11" s="710"/>
      <c r="J11" s="710"/>
      <c r="K11" s="708"/>
      <c r="L11" s="709"/>
      <c r="M11" s="709"/>
      <c r="N11" s="709"/>
    </row>
    <row r="12" spans="1:14" ht="20.25" customHeight="1">
      <c r="A12" s="1475" t="str">
        <f>IF(Титульный!B11=0,Титульный!B12,IF(Титульный!$B$12=0,Титульный!$B$11,CONCATENATE(Титульный!$B$11,", ",Титульный!$B$12)))</f>
        <v>Наро-Фоминский м.р.</v>
      </c>
      <c r="B12" s="1475"/>
      <c r="C12" s="1475"/>
      <c r="D12" s="1475"/>
      <c r="E12" s="1475"/>
      <c r="F12" s="1475"/>
      <c r="G12" s="955"/>
      <c r="H12" s="955"/>
      <c r="I12" s="955"/>
      <c r="J12" s="955"/>
      <c r="K12" s="708"/>
      <c r="L12" s="709"/>
      <c r="M12" s="709"/>
      <c r="N12" s="709"/>
    </row>
    <row r="13" spans="2:14" ht="16.5" customHeight="1">
      <c r="B13" s="710"/>
      <c r="C13" s="710"/>
      <c r="D13" s="710"/>
      <c r="E13" s="710"/>
      <c r="F13" s="710"/>
      <c r="G13" s="710"/>
      <c r="H13" s="710"/>
      <c r="I13" s="710"/>
      <c r="J13" s="710"/>
      <c r="K13" s="708"/>
      <c r="L13" s="709"/>
      <c r="M13" s="709"/>
      <c r="N13" s="709"/>
    </row>
    <row r="14" spans="1:10" ht="18.75" customHeight="1" thickBot="1">
      <c r="A14" s="1460" t="s">
        <v>230</v>
      </c>
      <c r="B14" s="1460"/>
      <c r="C14" s="1460"/>
      <c r="D14" s="1460"/>
      <c r="E14" s="1460"/>
      <c r="F14" s="1460"/>
      <c r="G14" s="1488"/>
      <c r="H14" s="1488"/>
      <c r="I14" s="1488"/>
      <c r="J14" s="1488"/>
    </row>
    <row r="15" spans="1:11" s="714" customFormat="1" ht="23.25" customHeight="1">
      <c r="A15" s="1489" t="s">
        <v>231</v>
      </c>
      <c r="B15" s="1490"/>
      <c r="C15" s="1491" t="str">
        <f>A10</f>
        <v>ООО "Дирекция Голицыно-3"</v>
      </c>
      <c r="D15" s="1491"/>
      <c r="E15" s="1491"/>
      <c r="F15" s="1490"/>
      <c r="G15" s="1490"/>
      <c r="H15" s="1490"/>
      <c r="I15" s="1490"/>
      <c r="J15" s="1492"/>
      <c r="K15" s="713"/>
    </row>
    <row r="16" spans="1:10" ht="15.75">
      <c r="A16" s="1476" t="s">
        <v>232</v>
      </c>
      <c r="B16" s="1477"/>
      <c r="C16" s="1484" t="s">
        <v>1368</v>
      </c>
      <c r="D16" s="1484"/>
      <c r="E16" s="1484"/>
      <c r="F16" s="1484"/>
      <c r="G16" s="1485"/>
      <c r="H16" s="1485"/>
      <c r="I16" s="1485"/>
      <c r="J16" s="1486"/>
    </row>
    <row r="17" spans="1:10" ht="15.75">
      <c r="A17" s="1487" t="s">
        <v>233</v>
      </c>
      <c r="B17" s="1477"/>
      <c r="C17" s="1494" t="s">
        <v>234</v>
      </c>
      <c r="D17" s="1494"/>
      <c r="E17" s="1494"/>
      <c r="F17" s="1477"/>
      <c r="G17" s="1477"/>
      <c r="H17" s="1477"/>
      <c r="I17" s="1477"/>
      <c r="J17" s="1479"/>
    </row>
    <row r="18" spans="1:10" ht="15.75">
      <c r="A18" s="1476" t="s">
        <v>232</v>
      </c>
      <c r="B18" s="1477"/>
      <c r="C18" s="1478" t="s">
        <v>235</v>
      </c>
      <c r="D18" s="1478"/>
      <c r="E18" s="1478"/>
      <c r="F18" s="1478"/>
      <c r="G18" s="1477"/>
      <c r="H18" s="1477"/>
      <c r="I18" s="1477"/>
      <c r="J18" s="1479"/>
    </row>
    <row r="19" spans="1:10" ht="16.5" thickBot="1">
      <c r="A19" s="1480" t="s">
        <v>236</v>
      </c>
      <c r="B19" s="1481"/>
      <c r="C19" s="1482" t="str">
        <f>IF(Титульный!B5="2017 - 2018","с 01.01.2017 по 31.12.2018","с 01.01.2017 по 31.12.2017")</f>
        <v>с 01.01.2017 по 31.12.2017</v>
      </c>
      <c r="D19" s="1482"/>
      <c r="E19" s="1482"/>
      <c r="F19" s="1481"/>
      <c r="G19" s="1481"/>
      <c r="H19" s="1481"/>
      <c r="I19" s="1481"/>
      <c r="J19" s="1483"/>
    </row>
    <row r="20" spans="2:10" ht="15.75">
      <c r="B20" s="711"/>
      <c r="C20" s="715"/>
      <c r="D20" s="715"/>
      <c r="E20" s="715"/>
      <c r="F20" s="716"/>
      <c r="G20" s="716"/>
      <c r="H20" s="716"/>
      <c r="I20" s="716"/>
      <c r="J20" s="716"/>
    </row>
    <row r="21" spans="1:10" ht="18.75" customHeight="1" thickBot="1">
      <c r="A21" s="1460" t="s">
        <v>237</v>
      </c>
      <c r="B21" s="1460"/>
      <c r="C21" s="1460"/>
      <c r="D21" s="1460"/>
      <c r="E21" s="1460"/>
      <c r="F21" s="1460"/>
      <c r="G21" s="1461"/>
      <c r="H21" s="1461"/>
      <c r="I21" s="1461"/>
      <c r="J21" s="1461"/>
    </row>
    <row r="22" spans="1:10" ht="18" customHeight="1">
      <c r="A22" s="1462" t="s">
        <v>238</v>
      </c>
      <c r="B22" s="1464" t="s">
        <v>239</v>
      </c>
      <c r="C22" s="1465"/>
      <c r="D22" s="1467" t="s">
        <v>221</v>
      </c>
      <c r="E22" s="1469" t="s">
        <v>240</v>
      </c>
      <c r="F22" s="1470"/>
      <c r="G22" s="1470"/>
      <c r="H22" s="1470"/>
      <c r="I22" s="1470"/>
      <c r="J22" s="1471"/>
    </row>
    <row r="23" spans="1:10" ht="33" customHeight="1" thickBot="1">
      <c r="A23" s="1463"/>
      <c r="B23" s="1466"/>
      <c r="C23" s="1466"/>
      <c r="D23" s="1468"/>
      <c r="E23" s="717" t="s">
        <v>243</v>
      </c>
      <c r="F23" s="718" t="s">
        <v>1208</v>
      </c>
      <c r="G23" s="719" t="s">
        <v>243</v>
      </c>
      <c r="H23" s="718" t="s">
        <v>293</v>
      </c>
      <c r="I23" s="719" t="s">
        <v>294</v>
      </c>
      <c r="J23" s="718" t="s">
        <v>295</v>
      </c>
    </row>
    <row r="24" spans="1:10" ht="76.5" customHeight="1">
      <c r="A24" s="720">
        <v>1</v>
      </c>
      <c r="B24" s="1495" t="s">
        <v>296</v>
      </c>
      <c r="C24" s="1496"/>
      <c r="D24" s="721" t="s">
        <v>46</v>
      </c>
      <c r="E24" s="722">
        <f aca="true" t="shared" si="0" ref="E24:J24">SUM(E25:E29)</f>
        <v>422.94</v>
      </c>
      <c r="F24" s="723">
        <f t="shared" si="0"/>
        <v>443.83</v>
      </c>
      <c r="G24" s="724">
        <f t="shared" si="0"/>
        <v>0</v>
      </c>
      <c r="H24" s="723">
        <f t="shared" si="0"/>
        <v>0</v>
      </c>
      <c r="I24" s="724">
        <f t="shared" si="0"/>
        <v>0</v>
      </c>
      <c r="J24" s="723">
        <f t="shared" si="0"/>
        <v>0</v>
      </c>
    </row>
    <row r="25" spans="1:10" ht="42" customHeight="1">
      <c r="A25" s="866" t="str">
        <f>A$24&amp;"."&amp;ROW(A1)</f>
        <v>1.1</v>
      </c>
      <c r="B25" s="1472" t="str">
        <f>Мероприятия!D13</f>
        <v>Перекладка отдельных участков линий с полной или частичной заменой труб</v>
      </c>
      <c r="C25" s="1473"/>
      <c r="D25" s="726" t="s">
        <v>46</v>
      </c>
      <c r="E25" s="762">
        <f>422.94-105</f>
        <v>317.94</v>
      </c>
      <c r="F25" s="809">
        <f>443.83-105</f>
        <v>338.83</v>
      </c>
      <c r="G25" s="764"/>
      <c r="H25" s="763"/>
      <c r="I25" s="764"/>
      <c r="J25" s="763"/>
    </row>
    <row r="26" spans="1:10" ht="42" customHeight="1">
      <c r="A26" s="867" t="str">
        <f>A$24&amp;"."&amp;ROW(A2)</f>
        <v>1.2</v>
      </c>
      <c r="B26" s="868" t="str">
        <f>Мероприятия!D14</f>
        <v>Замена оборудования, гидрантов, водозаборных колонок, задвижек</v>
      </c>
      <c r="C26" s="869"/>
      <c r="D26" s="726"/>
      <c r="E26" s="762">
        <v>60</v>
      </c>
      <c r="F26" s="809">
        <v>60</v>
      </c>
      <c r="G26" s="764"/>
      <c r="H26" s="763"/>
      <c r="I26" s="764"/>
      <c r="J26" s="763"/>
    </row>
    <row r="27" spans="1:10" ht="42" customHeight="1">
      <c r="A27" s="867" t="str">
        <f>A$24&amp;"."&amp;ROW(A3)</f>
        <v>1.3</v>
      </c>
      <c r="B27" s="868" t="str">
        <f>Мероприятия!D15</f>
        <v>Полная (частичная) реконструкция колодцев (камер)</v>
      </c>
      <c r="C27" s="869"/>
      <c r="D27" s="726"/>
      <c r="E27" s="762">
        <v>45</v>
      </c>
      <c r="F27" s="809">
        <v>45</v>
      </c>
      <c r="G27" s="764"/>
      <c r="H27" s="763"/>
      <c r="I27" s="764"/>
      <c r="J27" s="763"/>
    </row>
    <row r="28" spans="1:10" ht="42" customHeight="1">
      <c r="A28" s="867" t="str">
        <f>A$24&amp;"."&amp;ROW(A4)</f>
        <v>1.4</v>
      </c>
      <c r="B28" s="868">
        <f>Мероприятия!D16</f>
        <v>0</v>
      </c>
      <c r="C28" s="869"/>
      <c r="D28" s="726"/>
      <c r="E28" s="762"/>
      <c r="F28" s="809"/>
      <c r="G28" s="764"/>
      <c r="H28" s="763"/>
      <c r="I28" s="764"/>
      <c r="J28" s="763"/>
    </row>
    <row r="29" spans="1:10" ht="15.75">
      <c r="A29" s="727"/>
      <c r="B29" s="864"/>
      <c r="C29" s="865"/>
      <c r="D29" s="317"/>
      <c r="E29" s="315"/>
      <c r="F29" s="316"/>
      <c r="G29" s="315"/>
      <c r="H29" s="316"/>
      <c r="I29" s="315"/>
      <c r="J29" s="316"/>
    </row>
    <row r="30" spans="1:10" ht="23.25" customHeight="1">
      <c r="A30" s="725">
        <v>2</v>
      </c>
      <c r="B30" s="1431" t="s">
        <v>244</v>
      </c>
      <c r="C30" s="1443"/>
      <c r="D30" s="728" t="s">
        <v>245</v>
      </c>
      <c r="E30" s="1433">
        <f>'Расчет тарифов'!O26</f>
        <v>112</v>
      </c>
      <c r="F30" s="1434"/>
      <c r="G30" s="1435" t="e">
        <f>'Расчет тарифов'!#REF!</f>
        <v>#REF!</v>
      </c>
      <c r="H30" s="1434"/>
      <c r="I30" s="1435" t="e">
        <f>'Расчет тарифов'!#REF!</f>
        <v>#REF!</v>
      </c>
      <c r="J30" s="1434"/>
    </row>
    <row r="31" spans="1:10" ht="41.25" customHeight="1">
      <c r="A31" s="725">
        <v>3</v>
      </c>
      <c r="B31" s="1431" t="s">
        <v>246</v>
      </c>
      <c r="C31" s="1443"/>
      <c r="D31" s="728" t="s">
        <v>46</v>
      </c>
      <c r="E31" s="729">
        <f>'Расчет тарифов'!M165</f>
        <v>3340.4497127199998</v>
      </c>
      <c r="F31" s="730">
        <f>'Расчет тарифов'!O165</f>
        <v>3517.8763364</v>
      </c>
      <c r="G31" s="731" t="e">
        <f>'Расчет тарифов'!#REF!</f>
        <v>#REF!</v>
      </c>
      <c r="H31" s="730" t="e">
        <f>'Расчет тарифов'!#REF!</f>
        <v>#REF!</v>
      </c>
      <c r="I31" s="731" t="e">
        <f>'Расчет тарифов'!#REF!</f>
        <v>#REF!</v>
      </c>
      <c r="J31" s="730" t="e">
        <f>'Расчет тарифов'!#REF!</f>
        <v>#REF!</v>
      </c>
    </row>
    <row r="32" spans="1:10" ht="15.75">
      <c r="A32" s="732">
        <v>4</v>
      </c>
      <c r="B32" s="1431" t="s">
        <v>247</v>
      </c>
      <c r="C32" s="1443"/>
      <c r="D32" s="733"/>
      <c r="E32" s="1444" t="s">
        <v>249</v>
      </c>
      <c r="F32" s="1445"/>
      <c r="G32" s="1446" t="s">
        <v>249</v>
      </c>
      <c r="H32" s="1445"/>
      <c r="I32" s="1446" t="s">
        <v>297</v>
      </c>
      <c r="J32" s="1445"/>
    </row>
    <row r="33" spans="1:10" ht="39" customHeight="1">
      <c r="A33" s="725">
        <v>5</v>
      </c>
      <c r="B33" s="1431" t="s">
        <v>250</v>
      </c>
      <c r="C33" s="1443"/>
      <c r="D33" s="733"/>
      <c r="E33" s="1457"/>
      <c r="F33" s="1458"/>
      <c r="G33" s="1459"/>
      <c r="H33" s="1458"/>
      <c r="I33" s="1459"/>
      <c r="J33" s="1458"/>
    </row>
    <row r="34" spans="1:10" ht="21.75" customHeight="1">
      <c r="A34" s="725" t="s">
        <v>251</v>
      </c>
      <c r="B34" s="1431" t="s">
        <v>252</v>
      </c>
      <c r="C34" s="1443"/>
      <c r="D34" s="733"/>
      <c r="E34" s="1444"/>
      <c r="F34" s="1445"/>
      <c r="G34" s="1446"/>
      <c r="H34" s="1445"/>
      <c r="I34" s="1446"/>
      <c r="J34" s="1445"/>
    </row>
    <row r="35" spans="1:11" ht="81.75" customHeight="1">
      <c r="A35" s="725" t="s">
        <v>253</v>
      </c>
      <c r="B35" s="1431" t="s">
        <v>254</v>
      </c>
      <c r="C35" s="1443"/>
      <c r="D35" s="728" t="s">
        <v>23</v>
      </c>
      <c r="E35" s="1454">
        <f>IF(E37=0,0,E36/E37*100)</f>
        <v>0</v>
      </c>
      <c r="F35" s="1455"/>
      <c r="G35" s="1456">
        <f>IF(G37=0,0,G36/G37*100)</f>
        <v>0</v>
      </c>
      <c r="H35" s="1455"/>
      <c r="I35" s="1456">
        <f>IF(I37=0,0,I36/I37*100)</f>
        <v>0</v>
      </c>
      <c r="J35" s="1455"/>
      <c r="K35" s="734" t="s">
        <v>255</v>
      </c>
    </row>
    <row r="36" spans="1:10" ht="33.75" customHeight="1">
      <c r="A36" s="725"/>
      <c r="B36" s="1447" t="s">
        <v>256</v>
      </c>
      <c r="C36" s="1448"/>
      <c r="D36" s="728" t="s">
        <v>257</v>
      </c>
      <c r="E36" s="1451">
        <v>0</v>
      </c>
      <c r="F36" s="1452"/>
      <c r="G36" s="1453"/>
      <c r="H36" s="1452"/>
      <c r="I36" s="1453"/>
      <c r="J36" s="1452"/>
    </row>
    <row r="37" spans="1:10" ht="21.75" customHeight="1">
      <c r="A37" s="725"/>
      <c r="B37" s="1431" t="s">
        <v>258</v>
      </c>
      <c r="C37" s="1443"/>
      <c r="D37" s="728" t="s">
        <v>257</v>
      </c>
      <c r="E37" s="1451">
        <v>4</v>
      </c>
      <c r="F37" s="1452"/>
      <c r="G37" s="1453"/>
      <c r="H37" s="1452"/>
      <c r="I37" s="1453"/>
      <c r="J37" s="1452"/>
    </row>
    <row r="38" spans="1:11" ht="52.5" customHeight="1">
      <c r="A38" s="725" t="s">
        <v>259</v>
      </c>
      <c r="B38" s="1431" t="s">
        <v>260</v>
      </c>
      <c r="C38" s="1443"/>
      <c r="D38" s="728" t="s">
        <v>23</v>
      </c>
      <c r="E38" s="1454">
        <f>IF(E40=0,0,E39/E40*100)</f>
        <v>0</v>
      </c>
      <c r="F38" s="1455"/>
      <c r="G38" s="1456">
        <f>IF(G40=0,0,G39/G40*100)</f>
        <v>0</v>
      </c>
      <c r="H38" s="1455"/>
      <c r="I38" s="1456">
        <f>IF(I40=0,0,I39/I40*100)</f>
        <v>0</v>
      </c>
      <c r="J38" s="1455"/>
      <c r="K38" s="735" t="s">
        <v>261</v>
      </c>
    </row>
    <row r="39" spans="1:10" ht="54" customHeight="1">
      <c r="A39" s="725"/>
      <c r="B39" s="1447" t="s">
        <v>262</v>
      </c>
      <c r="C39" s="1448"/>
      <c r="D39" s="728" t="s">
        <v>257</v>
      </c>
      <c r="E39" s="1451">
        <v>0</v>
      </c>
      <c r="F39" s="1452"/>
      <c r="G39" s="1453"/>
      <c r="H39" s="1452"/>
      <c r="I39" s="1453"/>
      <c r="J39" s="1452"/>
    </row>
    <row r="40" spans="1:10" ht="15.75">
      <c r="A40" s="725"/>
      <c r="B40" s="1431" t="s">
        <v>258</v>
      </c>
      <c r="C40" s="1443"/>
      <c r="D40" s="728" t="s">
        <v>257</v>
      </c>
      <c r="E40" s="1451">
        <v>4</v>
      </c>
      <c r="F40" s="1452"/>
      <c r="G40" s="1453"/>
      <c r="H40" s="1452"/>
      <c r="I40" s="1453"/>
      <c r="J40" s="1452"/>
    </row>
    <row r="41" spans="1:10" ht="21.75" customHeight="1">
      <c r="A41" s="725" t="s">
        <v>263</v>
      </c>
      <c r="B41" s="1431" t="s">
        <v>264</v>
      </c>
      <c r="C41" s="1443"/>
      <c r="D41" s="733"/>
      <c r="E41" s="1444"/>
      <c r="F41" s="1445"/>
      <c r="G41" s="1446"/>
      <c r="H41" s="1445"/>
      <c r="I41" s="1446"/>
      <c r="J41" s="1445"/>
    </row>
    <row r="42" spans="1:11" ht="137.25" customHeight="1">
      <c r="A42" s="725" t="s">
        <v>169</v>
      </c>
      <c r="B42" s="1431" t="s">
        <v>265</v>
      </c>
      <c r="C42" s="1443"/>
      <c r="D42" s="728" t="s">
        <v>266</v>
      </c>
      <c r="E42" s="1433">
        <f>IF(E43=0,0,E43/E44)</f>
        <v>0.5096515257692553</v>
      </c>
      <c r="F42" s="1434"/>
      <c r="G42" s="1435">
        <f>IF(G43=0,0,G43/G44)</f>
        <v>0</v>
      </c>
      <c r="H42" s="1434"/>
      <c r="I42" s="1435">
        <f>IF(I43=0,0,I43/I44)</f>
        <v>0</v>
      </c>
      <c r="J42" s="1434"/>
      <c r="K42" s="734" t="s">
        <v>267</v>
      </c>
    </row>
    <row r="43" spans="1:10" ht="144" customHeight="1">
      <c r="A43" s="725"/>
      <c r="B43" s="1447" t="s">
        <v>268</v>
      </c>
      <c r="C43" s="1448"/>
      <c r="D43" s="728" t="s">
        <v>257</v>
      </c>
      <c r="E43" s="1451">
        <v>4</v>
      </c>
      <c r="F43" s="1452"/>
      <c r="G43" s="1453"/>
      <c r="H43" s="1452"/>
      <c r="I43" s="1453"/>
      <c r="J43" s="1452"/>
    </row>
    <row r="44" spans="1:10" ht="18.75" customHeight="1">
      <c r="A44" s="725"/>
      <c r="B44" s="1431" t="s">
        <v>269</v>
      </c>
      <c r="C44" s="1443"/>
      <c r="D44" s="728" t="s">
        <v>270</v>
      </c>
      <c r="E44" s="900">
        <v>7.8485</v>
      </c>
      <c r="F44" s="901">
        <f>E44</f>
        <v>7.8485</v>
      </c>
      <c r="G44" s="900">
        <v>7.7</v>
      </c>
      <c r="H44" s="901">
        <f>G44</f>
        <v>7.7</v>
      </c>
      <c r="I44" s="900">
        <v>7.7</v>
      </c>
      <c r="J44" s="901">
        <f>I44</f>
        <v>7.7</v>
      </c>
    </row>
    <row r="45" spans="1:10" ht="21.75" customHeight="1">
      <c r="A45" s="725" t="s">
        <v>271</v>
      </c>
      <c r="B45" s="1431" t="s">
        <v>272</v>
      </c>
      <c r="C45" s="1443"/>
      <c r="D45" s="733"/>
      <c r="E45" s="1444"/>
      <c r="F45" s="1445"/>
      <c r="G45" s="1446"/>
      <c r="H45" s="1445"/>
      <c r="I45" s="1446"/>
      <c r="J45" s="1445"/>
    </row>
    <row r="46" spans="1:11" ht="36" customHeight="1">
      <c r="A46" s="725" t="s">
        <v>273</v>
      </c>
      <c r="B46" s="1431" t="s">
        <v>274</v>
      </c>
      <c r="C46" s="1443"/>
      <c r="D46" s="728" t="s">
        <v>23</v>
      </c>
      <c r="E46" s="1433">
        <f>E47/E48*100</f>
        <v>2.608695652173913</v>
      </c>
      <c r="F46" s="1434"/>
      <c r="G46" s="1435" t="e">
        <f>G47/G48*100</f>
        <v>#REF!</v>
      </c>
      <c r="H46" s="1434"/>
      <c r="I46" s="1435" t="e">
        <f>I47/I48*100</f>
        <v>#REF!</v>
      </c>
      <c r="J46" s="1434"/>
      <c r="K46" s="734" t="s">
        <v>275</v>
      </c>
    </row>
    <row r="47" spans="1:10" ht="34.5" customHeight="1">
      <c r="A47" s="725"/>
      <c r="B47" s="1447" t="s">
        <v>276</v>
      </c>
      <c r="C47" s="1448"/>
      <c r="D47" s="728" t="s">
        <v>277</v>
      </c>
      <c r="E47" s="1433">
        <f>'Расчет тарифов'!O24</f>
        <v>3</v>
      </c>
      <c r="F47" s="1434"/>
      <c r="G47" s="1435" t="e">
        <f>'Расчет тарифов'!#REF!</f>
        <v>#REF!</v>
      </c>
      <c r="H47" s="1434"/>
      <c r="I47" s="1435" t="e">
        <f>'Расчет тарифов'!#REF!</f>
        <v>#REF!</v>
      </c>
      <c r="J47" s="1434"/>
    </row>
    <row r="48" spans="1:10" ht="24" customHeight="1">
      <c r="A48" s="725"/>
      <c r="B48" s="1447" t="s">
        <v>278</v>
      </c>
      <c r="C48" s="1448"/>
      <c r="D48" s="728" t="s">
        <v>708</v>
      </c>
      <c r="E48" s="1433">
        <f>'Расчет тарифов'!O23</f>
        <v>115</v>
      </c>
      <c r="F48" s="1434"/>
      <c r="G48" s="1435" t="e">
        <f>'Расчет тарифов'!#REF!</f>
        <v>#REF!</v>
      </c>
      <c r="H48" s="1434"/>
      <c r="I48" s="1435" t="e">
        <f>'Расчет тарифов'!#REF!</f>
        <v>#REF!</v>
      </c>
      <c r="J48" s="1434"/>
    </row>
    <row r="49" spans="1:11" s="736" customFormat="1" ht="47.25" customHeight="1">
      <c r="A49" s="732" t="s">
        <v>279</v>
      </c>
      <c r="B49" s="1431" t="s">
        <v>852</v>
      </c>
      <c r="C49" s="1432"/>
      <c r="D49" s="728" t="s">
        <v>304</v>
      </c>
      <c r="E49" s="1433">
        <f>E50/E51</f>
        <v>0.84</v>
      </c>
      <c r="F49" s="1434"/>
      <c r="G49" s="1433" t="e">
        <f>G50/G51</f>
        <v>#REF!</v>
      </c>
      <c r="H49" s="1434"/>
      <c r="I49" s="1433" t="e">
        <f>I50/I51</f>
        <v>#REF!</v>
      </c>
      <c r="J49" s="1434"/>
      <c r="K49" s="735" t="s">
        <v>855</v>
      </c>
    </row>
    <row r="50" spans="1:11" s="736" customFormat="1" ht="31.5" customHeight="1">
      <c r="A50" s="732"/>
      <c r="B50" s="1431" t="s">
        <v>858</v>
      </c>
      <c r="C50" s="1432"/>
      <c r="D50" s="728" t="s">
        <v>52</v>
      </c>
      <c r="E50" s="1439">
        <f>117*0.84</f>
        <v>98.28</v>
      </c>
      <c r="F50" s="1440"/>
      <c r="G50" s="1439"/>
      <c r="H50" s="1440"/>
      <c r="I50" s="1439"/>
      <c r="J50" s="1440"/>
      <c r="K50" s="735"/>
    </row>
    <row r="51" spans="1:11" s="736" customFormat="1" ht="24.75" customHeight="1">
      <c r="A51" s="732"/>
      <c r="B51" s="1421" t="s">
        <v>859</v>
      </c>
      <c r="C51" s="1448"/>
      <c r="D51" s="728" t="s">
        <v>708</v>
      </c>
      <c r="E51" s="1435">
        <f>'Расчет тарифов'!O18</f>
        <v>117</v>
      </c>
      <c r="F51" s="1436"/>
      <c r="G51" s="1435" t="e">
        <f>'Расчет тарифов'!#REF!</f>
        <v>#REF!</v>
      </c>
      <c r="H51" s="1436"/>
      <c r="I51" s="1435" t="e">
        <f>'Расчет тарифов'!#REF!</f>
        <v>#REF!</v>
      </c>
      <c r="J51" s="1436"/>
      <c r="K51" s="735"/>
    </row>
    <row r="52" spans="1:11" s="736" customFormat="1" ht="47.25" customHeight="1">
      <c r="A52" s="732" t="s">
        <v>851</v>
      </c>
      <c r="B52" s="1449" t="s">
        <v>853</v>
      </c>
      <c r="C52" s="1450"/>
      <c r="D52" s="944" t="s">
        <v>304</v>
      </c>
      <c r="E52" s="1435">
        <f>E53/E54</f>
        <v>0.77</v>
      </c>
      <c r="F52" s="1436"/>
      <c r="G52" s="1435" t="e">
        <f>G53/G54</f>
        <v>#REF!</v>
      </c>
      <c r="H52" s="1436"/>
      <c r="I52" s="1435" t="e">
        <f>I53/I54</f>
        <v>#REF!</v>
      </c>
      <c r="J52" s="1436"/>
      <c r="K52" s="735" t="s">
        <v>856</v>
      </c>
    </row>
    <row r="53" spans="1:11" s="736" customFormat="1" ht="34.5" customHeight="1">
      <c r="A53" s="732"/>
      <c r="B53" s="1431" t="s">
        <v>857</v>
      </c>
      <c r="C53" s="1432"/>
      <c r="D53" s="728" t="s">
        <v>52</v>
      </c>
      <c r="E53" s="1441">
        <f>115*0.77</f>
        <v>88.55</v>
      </c>
      <c r="F53" s="1442"/>
      <c r="G53" s="1441"/>
      <c r="H53" s="1442"/>
      <c r="I53" s="1441"/>
      <c r="J53" s="1442"/>
      <c r="K53" s="737"/>
    </row>
    <row r="54" spans="1:11" s="736" customFormat="1" ht="24" customHeight="1" thickBot="1">
      <c r="A54" s="738"/>
      <c r="B54" s="1406" t="s">
        <v>854</v>
      </c>
      <c r="C54" s="1407"/>
      <c r="D54" s="739" t="s">
        <v>708</v>
      </c>
      <c r="E54" s="1408">
        <f>'Расчет тарифов'!O23</f>
        <v>115</v>
      </c>
      <c r="F54" s="1409"/>
      <c r="G54" s="1408" t="e">
        <f>'Расчет тарифов'!#REF!</f>
        <v>#REF!</v>
      </c>
      <c r="H54" s="1409"/>
      <c r="I54" s="1408" t="e">
        <f>'Расчет тарифов'!#REF!</f>
        <v>#REF!</v>
      </c>
      <c r="J54" s="1409"/>
      <c r="K54" s="737"/>
    </row>
    <row r="55" spans="1:11" s="736" customFormat="1" ht="24" customHeight="1">
      <c r="A55" s="740"/>
      <c r="B55" s="741"/>
      <c r="C55" s="741"/>
      <c r="D55" s="742"/>
      <c r="E55" s="743"/>
      <c r="F55" s="744"/>
      <c r="G55" s="744"/>
      <c r="H55" s="744"/>
      <c r="I55" s="744"/>
      <c r="J55" s="744"/>
      <c r="K55" s="737"/>
    </row>
    <row r="56" spans="1:10" ht="72" customHeight="1" thickBot="1">
      <c r="A56" s="1413" t="s">
        <v>721</v>
      </c>
      <c r="B56" s="1425"/>
      <c r="C56" s="1425"/>
      <c r="D56" s="1425"/>
      <c r="E56" s="1425"/>
      <c r="F56" s="1425"/>
      <c r="G56" s="1425"/>
      <c r="H56" s="1425"/>
      <c r="I56" s="1425"/>
      <c r="J56" s="1426"/>
    </row>
    <row r="57" spans="1:10" ht="67.5" customHeight="1" thickBot="1">
      <c r="A57" s="745" t="s">
        <v>238</v>
      </c>
      <c r="B57" s="1427" t="s">
        <v>239</v>
      </c>
      <c r="C57" s="1428"/>
      <c r="D57" s="746" t="s">
        <v>221</v>
      </c>
      <c r="E57" s="746" t="s">
        <v>1210</v>
      </c>
      <c r="F57" s="746" t="s">
        <v>1209</v>
      </c>
      <c r="G57" s="1427" t="s">
        <v>300</v>
      </c>
      <c r="H57" s="1397"/>
      <c r="I57" s="1427" t="s">
        <v>301</v>
      </c>
      <c r="J57" s="1397"/>
    </row>
    <row r="58" spans="1:10" ht="23.25" customHeight="1">
      <c r="A58" s="720" t="s">
        <v>280</v>
      </c>
      <c r="B58" s="1429" t="s">
        <v>252</v>
      </c>
      <c r="C58" s="1430"/>
      <c r="D58" s="747"/>
      <c r="E58" s="747"/>
      <c r="F58" s="748"/>
      <c r="G58" s="1437"/>
      <c r="H58" s="1438"/>
      <c r="I58" s="1437"/>
      <c r="J58" s="1438"/>
    </row>
    <row r="59" spans="1:11" ht="23.25" customHeight="1">
      <c r="A59" s="725" t="s">
        <v>14</v>
      </c>
      <c r="B59" s="1404" t="s">
        <v>281</v>
      </c>
      <c r="C59" s="1405"/>
      <c r="D59" s="728" t="s">
        <v>23</v>
      </c>
      <c r="E59" s="261"/>
      <c r="F59" s="749">
        <f>E35</f>
        <v>0</v>
      </c>
      <c r="G59" s="1419"/>
      <c r="H59" s="1420"/>
      <c r="I59" s="1419"/>
      <c r="J59" s="1420"/>
      <c r="K59" s="734" t="s">
        <v>1211</v>
      </c>
    </row>
    <row r="60" spans="1:10" ht="21.75" customHeight="1">
      <c r="A60" s="725"/>
      <c r="B60" s="1421" t="s">
        <v>282</v>
      </c>
      <c r="C60" s="1422"/>
      <c r="D60" s="728" t="s">
        <v>23</v>
      </c>
      <c r="E60" s="750" t="s">
        <v>283</v>
      </c>
      <c r="F60" s="749">
        <f>IF(E59=0,0,(F59/E59*100)-100)</f>
        <v>0</v>
      </c>
      <c r="G60" s="1423">
        <f>IF(F59=0,0,(G59/F59*100)-100)</f>
        <v>0</v>
      </c>
      <c r="H60" s="1424">
        <f>IF(G59=0,0,(H59/G59*100)-100)</f>
        <v>0</v>
      </c>
      <c r="I60" s="1423">
        <f>IF(H59=0,0,(I59/H59*100)-100)</f>
        <v>0</v>
      </c>
      <c r="J60" s="1424">
        <f>IF(I59=0,0,(J59/I59*100)-100)</f>
        <v>0</v>
      </c>
    </row>
    <row r="61" spans="1:11" ht="23.25" customHeight="1">
      <c r="A61" s="725" t="s">
        <v>17</v>
      </c>
      <c r="B61" s="1404" t="s">
        <v>284</v>
      </c>
      <c r="C61" s="1405"/>
      <c r="D61" s="728" t="s">
        <v>23</v>
      </c>
      <c r="E61" s="261"/>
      <c r="F61" s="749">
        <f>E38</f>
        <v>0</v>
      </c>
      <c r="G61" s="1419"/>
      <c r="H61" s="1420"/>
      <c r="I61" s="1419"/>
      <c r="J61" s="1420"/>
      <c r="K61" s="735" t="s">
        <v>1212</v>
      </c>
    </row>
    <row r="62" spans="1:10" ht="21.75" customHeight="1">
      <c r="A62" s="725"/>
      <c r="B62" s="1421" t="s">
        <v>282</v>
      </c>
      <c r="C62" s="1422"/>
      <c r="D62" s="728" t="s">
        <v>23</v>
      </c>
      <c r="E62" s="750" t="s">
        <v>283</v>
      </c>
      <c r="F62" s="749">
        <f>IF(E61=0,0,(F61/E61*100)-100)</f>
        <v>0</v>
      </c>
      <c r="G62" s="1423">
        <f>IF(F61=0,0,(G61/F61*100)-100)</f>
        <v>0</v>
      </c>
      <c r="H62" s="1424">
        <f>IF(G61=0,0,(H61/G61*100)-100)</f>
        <v>0</v>
      </c>
      <c r="I62" s="1423">
        <f>IF(H61=0,0,(I61/H61*100)-100)</f>
        <v>0</v>
      </c>
      <c r="J62" s="1424">
        <f>IF(I61=0,0,(J61/I61*100)-100)</f>
        <v>0</v>
      </c>
    </row>
    <row r="63" spans="1:10" ht="23.25" customHeight="1">
      <c r="A63" s="725" t="s">
        <v>285</v>
      </c>
      <c r="B63" s="1404" t="s">
        <v>264</v>
      </c>
      <c r="C63" s="1416"/>
      <c r="D63" s="733"/>
      <c r="E63" s="750"/>
      <c r="F63" s="751"/>
      <c r="G63" s="1417"/>
      <c r="H63" s="1418"/>
      <c r="I63" s="1417"/>
      <c r="J63" s="1418"/>
    </row>
    <row r="64" spans="1:11" ht="23.25" customHeight="1">
      <c r="A64" s="725" t="s">
        <v>45</v>
      </c>
      <c r="B64" s="1404" t="s">
        <v>286</v>
      </c>
      <c r="C64" s="1405"/>
      <c r="D64" s="728" t="s">
        <v>266</v>
      </c>
      <c r="E64" s="261"/>
      <c r="F64" s="749">
        <f>E42</f>
        <v>0.5096515257692553</v>
      </c>
      <c r="G64" s="1419"/>
      <c r="H64" s="1420"/>
      <c r="I64" s="1419"/>
      <c r="J64" s="1420"/>
      <c r="K64" s="734" t="s">
        <v>1213</v>
      </c>
    </row>
    <row r="65" spans="1:10" ht="21.75" customHeight="1">
      <c r="A65" s="725"/>
      <c r="B65" s="1421" t="s">
        <v>282</v>
      </c>
      <c r="C65" s="1422"/>
      <c r="D65" s="728" t="s">
        <v>23</v>
      </c>
      <c r="E65" s="750" t="s">
        <v>283</v>
      </c>
      <c r="F65" s="749">
        <f>IF(E64=0,0,(F64/E64*100)-100)</f>
        <v>0</v>
      </c>
      <c r="G65" s="1423">
        <f>IF(F64=0,0,(G64/F64*100)-100)</f>
        <v>-100</v>
      </c>
      <c r="H65" s="1424">
        <f>IF(G64=0,0,(H64/G64*100)-100)</f>
        <v>0</v>
      </c>
      <c r="I65" s="1423">
        <f>IF(H64=0,0,(I64/H64*100)-100)</f>
        <v>0</v>
      </c>
      <c r="J65" s="1424">
        <f>IF(I64=0,0,(J64/I64*100)-100)</f>
        <v>0</v>
      </c>
    </row>
    <row r="66" spans="1:10" ht="23.25" customHeight="1">
      <c r="A66" s="725" t="s">
        <v>152</v>
      </c>
      <c r="B66" s="1404" t="s">
        <v>272</v>
      </c>
      <c r="C66" s="1416"/>
      <c r="D66" s="733"/>
      <c r="E66" s="750"/>
      <c r="F66" s="751"/>
      <c r="G66" s="1417"/>
      <c r="H66" s="1418"/>
      <c r="I66" s="1417"/>
      <c r="J66" s="1418"/>
    </row>
    <row r="67" spans="1:11" ht="39" customHeight="1">
      <c r="A67" s="725" t="s">
        <v>154</v>
      </c>
      <c r="B67" s="1404" t="s">
        <v>287</v>
      </c>
      <c r="C67" s="1405"/>
      <c r="D67" s="728" t="s">
        <v>303</v>
      </c>
      <c r="E67" s="261"/>
      <c r="F67" s="749">
        <f>E49</f>
        <v>0.84</v>
      </c>
      <c r="G67" s="1419"/>
      <c r="H67" s="1420"/>
      <c r="I67" s="1419"/>
      <c r="J67" s="1420"/>
      <c r="K67" s="735" t="s">
        <v>1214</v>
      </c>
    </row>
    <row r="68" spans="1:10" ht="21.75" customHeight="1" thickBot="1">
      <c r="A68" s="752"/>
      <c r="B68" s="1402" t="s">
        <v>282</v>
      </c>
      <c r="C68" s="1403"/>
      <c r="D68" s="739" t="s">
        <v>23</v>
      </c>
      <c r="E68" s="753" t="s">
        <v>283</v>
      </c>
      <c r="F68" s="754">
        <f>IF(E67=0,0,(F67/E67*100)-100)</f>
        <v>0</v>
      </c>
      <c r="G68" s="1411">
        <f>IF(F67=0,0,(G67/F67*100)-100)</f>
        <v>-100</v>
      </c>
      <c r="H68" s="1412">
        <f>IF(G67=0,0,(H67/G67*100)-100)</f>
        <v>0</v>
      </c>
      <c r="I68" s="1411">
        <f>IF(H67=0,0,(I67/H67*100)-100)</f>
        <v>0</v>
      </c>
      <c r="J68" s="1412">
        <f>IF(I67=0,0,(J67/I67*100)-100)</f>
        <v>0</v>
      </c>
    </row>
    <row r="69" spans="1:10" ht="21.75" customHeight="1">
      <c r="A69" s="755"/>
      <c r="B69" s="741"/>
      <c r="C69" s="756"/>
      <c r="D69" s="742"/>
      <c r="E69" s="757"/>
      <c r="F69" s="758"/>
      <c r="G69" s="758"/>
      <c r="H69" s="758"/>
      <c r="I69" s="758"/>
      <c r="J69" s="758"/>
    </row>
    <row r="70" spans="1:10" ht="24.75" customHeight="1" thickBot="1">
      <c r="A70" s="1413" t="s">
        <v>288</v>
      </c>
      <c r="B70" s="1414"/>
      <c r="C70" s="1414"/>
      <c r="D70" s="1414"/>
      <c r="E70" s="1414"/>
      <c r="F70" s="1415"/>
      <c r="G70" s="711"/>
      <c r="H70" s="711"/>
      <c r="I70" s="711"/>
      <c r="J70" s="711"/>
    </row>
    <row r="71" spans="1:10" ht="40.5" customHeight="1" thickBot="1">
      <c r="A71" s="745" t="s">
        <v>238</v>
      </c>
      <c r="B71" s="1396" t="s">
        <v>239</v>
      </c>
      <c r="C71" s="1410"/>
      <c r="D71" s="746" t="s">
        <v>221</v>
      </c>
      <c r="E71" s="1396" t="s">
        <v>561</v>
      </c>
      <c r="F71" s="1397"/>
      <c r="G71" s="716"/>
      <c r="H71" s="716"/>
      <c r="I71" s="716"/>
      <c r="J71" s="716"/>
    </row>
    <row r="72" spans="1:10" ht="23.25" customHeight="1" thickBot="1">
      <c r="A72" s="759" t="s">
        <v>280</v>
      </c>
      <c r="B72" s="1398" t="s">
        <v>289</v>
      </c>
      <c r="C72" s="1399"/>
      <c r="D72" s="760" t="s">
        <v>46</v>
      </c>
      <c r="E72" s="1400">
        <f>'Расчет тарифов'!H152</f>
        <v>2873.834074639472</v>
      </c>
      <c r="F72" s="1401"/>
      <c r="G72" s="761"/>
      <c r="H72" s="761"/>
      <c r="I72" s="761"/>
      <c r="J72" s="761"/>
    </row>
    <row r="74" spans="1:10" ht="24.75" customHeight="1">
      <c r="A74" s="1391" t="s">
        <v>290</v>
      </c>
      <c r="B74" s="1392"/>
      <c r="C74" s="1392"/>
      <c r="D74" s="1392"/>
      <c r="E74" s="1392"/>
      <c r="F74" s="1393"/>
      <c r="G74" s="716"/>
      <c r="H74" s="716"/>
      <c r="I74" s="716"/>
      <c r="J74" s="716"/>
    </row>
    <row r="75" spans="1:11" s="964" customFormat="1" ht="23.25" customHeight="1">
      <c r="A75" s="962" t="s">
        <v>280</v>
      </c>
      <c r="B75" s="1394" t="s">
        <v>291</v>
      </c>
      <c r="C75" s="1395"/>
      <c r="D75" s="1395"/>
      <c r="E75" s="1395"/>
      <c r="F75" s="1395"/>
      <c r="G75" s="963"/>
      <c r="H75" s="963"/>
      <c r="I75" s="963"/>
      <c r="J75" s="963"/>
      <c r="K75" s="702"/>
    </row>
    <row r="76" spans="1:11" s="964" customFormat="1" ht="23.25" customHeight="1">
      <c r="A76" s="962" t="s">
        <v>285</v>
      </c>
      <c r="B76" s="1394" t="s">
        <v>292</v>
      </c>
      <c r="C76" s="1395"/>
      <c r="D76" s="1395"/>
      <c r="E76" s="1395"/>
      <c r="F76" s="1395"/>
      <c r="G76" s="963"/>
      <c r="H76" s="963"/>
      <c r="I76" s="963"/>
      <c r="J76" s="963"/>
      <c r="K76" s="702"/>
    </row>
    <row r="79" spans="2:7" ht="15.75">
      <c r="B79" s="877" t="s">
        <v>654</v>
      </c>
      <c r="C79" s="877"/>
      <c r="D79" s="877" t="s">
        <v>729</v>
      </c>
      <c r="E79" s="877"/>
      <c r="F79" s="877"/>
      <c r="G79" s="877"/>
    </row>
    <row r="80" spans="2:7" ht="15.75">
      <c r="B80" s="878"/>
      <c r="C80" s="878"/>
      <c r="D80" s="1007" t="s">
        <v>728</v>
      </c>
      <c r="E80" s="1007" t="s">
        <v>873</v>
      </c>
      <c r="G80" s="878"/>
    </row>
    <row r="81" spans="2:7" ht="15.75">
      <c r="B81" s="878"/>
      <c r="C81" s="878"/>
      <c r="D81" s="878"/>
      <c r="E81" s="878"/>
      <c r="F81" s="878"/>
      <c r="G81" s="878"/>
    </row>
    <row r="82" spans="2:7" ht="15.75">
      <c r="B82" s="1387" t="s">
        <v>215</v>
      </c>
      <c r="C82" s="1387"/>
      <c r="D82" s="878"/>
      <c r="E82" s="878"/>
      <c r="F82" s="878"/>
      <c r="G82" s="878"/>
    </row>
    <row r="83" spans="2:7" ht="15.75">
      <c r="B83" s="879"/>
      <c r="C83" s="879"/>
      <c r="D83" s="880" t="s">
        <v>305</v>
      </c>
      <c r="E83" s="881"/>
      <c r="F83" s="881"/>
      <c r="G83" s="882"/>
    </row>
    <row r="84" spans="2:7" ht="15.75">
      <c r="B84" s="879"/>
      <c r="C84" s="879"/>
      <c r="D84" s="883" t="s">
        <v>1</v>
      </c>
      <c r="E84" s="877"/>
      <c r="F84" s="881"/>
      <c r="G84" s="882"/>
    </row>
    <row r="85" spans="2:7" ht="15.75">
      <c r="B85" s="1387" t="s">
        <v>216</v>
      </c>
      <c r="C85" s="1387"/>
      <c r="D85" s="1388" t="s">
        <v>217</v>
      </c>
      <c r="E85" s="1388"/>
      <c r="F85" s="1388"/>
      <c r="G85" s="1388"/>
    </row>
    <row r="86" spans="2:7" ht="15.75">
      <c r="B86" s="1389" t="s">
        <v>218</v>
      </c>
      <c r="C86" s="1389"/>
      <c r="D86" s="1388"/>
      <c r="E86" s="1388"/>
      <c r="F86" s="1388"/>
      <c r="G86" s="1388"/>
    </row>
    <row r="87" spans="2:7" ht="15.75">
      <c r="B87" s="878"/>
      <c r="C87" s="878"/>
      <c r="D87" s="1390" t="s">
        <v>989</v>
      </c>
      <c r="E87" s="1390"/>
      <c r="F87" s="1390"/>
      <c r="G87" s="1390"/>
    </row>
  </sheetData>
  <sheetProtection password="CF7A" sheet="1" objects="1" scenarios="1" formatColumns="0"/>
  <mergeCells count="167">
    <mergeCell ref="I50:J50"/>
    <mergeCell ref="A14:J14"/>
    <mergeCell ref="A15:B15"/>
    <mergeCell ref="C15:J15"/>
    <mergeCell ref="B9:F9"/>
    <mergeCell ref="B11:F11"/>
    <mergeCell ref="C17:J17"/>
    <mergeCell ref="B24:C24"/>
    <mergeCell ref="B30:C30"/>
    <mergeCell ref="E30:F30"/>
    <mergeCell ref="A8:F8"/>
    <mergeCell ref="A10:F10"/>
    <mergeCell ref="A12:F12"/>
    <mergeCell ref="A18:B18"/>
    <mergeCell ref="C18:J18"/>
    <mergeCell ref="A19:B19"/>
    <mergeCell ref="C19:J19"/>
    <mergeCell ref="A16:B16"/>
    <mergeCell ref="C16:J16"/>
    <mergeCell ref="A17:B17"/>
    <mergeCell ref="G30:H30"/>
    <mergeCell ref="I30:J30"/>
    <mergeCell ref="A21:J21"/>
    <mergeCell ref="A22:A23"/>
    <mergeCell ref="B22:C23"/>
    <mergeCell ref="D22:D23"/>
    <mergeCell ref="E22:J22"/>
    <mergeCell ref="B25:C25"/>
    <mergeCell ref="I32:J32"/>
    <mergeCell ref="B33:C33"/>
    <mergeCell ref="E33:F33"/>
    <mergeCell ref="G33:H33"/>
    <mergeCell ref="I33:J33"/>
    <mergeCell ref="B31:C31"/>
    <mergeCell ref="B32:C32"/>
    <mergeCell ref="E32:F32"/>
    <mergeCell ref="G32:H32"/>
    <mergeCell ref="B35:C35"/>
    <mergeCell ref="E35:F35"/>
    <mergeCell ref="G35:H35"/>
    <mergeCell ref="I35:J35"/>
    <mergeCell ref="B34:C34"/>
    <mergeCell ref="E34:F34"/>
    <mergeCell ref="G34:H34"/>
    <mergeCell ref="I34:J34"/>
    <mergeCell ref="B37:C37"/>
    <mergeCell ref="E37:F37"/>
    <mergeCell ref="G37:H37"/>
    <mergeCell ref="I37:J37"/>
    <mergeCell ref="B36:C36"/>
    <mergeCell ref="E36:F36"/>
    <mergeCell ref="G36:H36"/>
    <mergeCell ref="I36:J36"/>
    <mergeCell ref="B39:C39"/>
    <mergeCell ref="E39:F39"/>
    <mergeCell ref="G39:H39"/>
    <mergeCell ref="I39:J39"/>
    <mergeCell ref="B38:C38"/>
    <mergeCell ref="E38:F38"/>
    <mergeCell ref="G38:H38"/>
    <mergeCell ref="I38:J38"/>
    <mergeCell ref="B41:C41"/>
    <mergeCell ref="E41:F41"/>
    <mergeCell ref="G41:H41"/>
    <mergeCell ref="I41:J41"/>
    <mergeCell ref="B40:C40"/>
    <mergeCell ref="E40:F40"/>
    <mergeCell ref="G40:H40"/>
    <mergeCell ref="I40:J40"/>
    <mergeCell ref="B43:C43"/>
    <mergeCell ref="E43:F43"/>
    <mergeCell ref="G43:H43"/>
    <mergeCell ref="I43:J43"/>
    <mergeCell ref="B42:C42"/>
    <mergeCell ref="E42:F42"/>
    <mergeCell ref="G42:H42"/>
    <mergeCell ref="I42:J42"/>
    <mergeCell ref="B44:C44"/>
    <mergeCell ref="B52:C52"/>
    <mergeCell ref="B50:C50"/>
    <mergeCell ref="B51:C51"/>
    <mergeCell ref="E51:F51"/>
    <mergeCell ref="G51:H51"/>
    <mergeCell ref="B46:C46"/>
    <mergeCell ref="E46:F46"/>
    <mergeCell ref="G46:H46"/>
    <mergeCell ref="E47:F47"/>
    <mergeCell ref="I46:J46"/>
    <mergeCell ref="B45:C45"/>
    <mergeCell ref="E45:F45"/>
    <mergeCell ref="G45:H45"/>
    <mergeCell ref="I45:J45"/>
    <mergeCell ref="B48:C48"/>
    <mergeCell ref="E48:F48"/>
    <mergeCell ref="G48:H48"/>
    <mergeCell ref="I48:J48"/>
    <mergeCell ref="B47:C47"/>
    <mergeCell ref="G47:H47"/>
    <mergeCell ref="I47:J47"/>
    <mergeCell ref="G54:H54"/>
    <mergeCell ref="I54:J54"/>
    <mergeCell ref="E53:F53"/>
    <mergeCell ref="G53:H53"/>
    <mergeCell ref="I53:J53"/>
    <mergeCell ref="I52:J52"/>
    <mergeCell ref="G52:H52"/>
    <mergeCell ref="E52:F52"/>
    <mergeCell ref="B49:C49"/>
    <mergeCell ref="E49:F49"/>
    <mergeCell ref="G49:H49"/>
    <mergeCell ref="I49:J49"/>
    <mergeCell ref="I51:J51"/>
    <mergeCell ref="G58:H58"/>
    <mergeCell ref="I58:J58"/>
    <mergeCell ref="B53:C53"/>
    <mergeCell ref="E50:F50"/>
    <mergeCell ref="G50:H50"/>
    <mergeCell ref="G59:H59"/>
    <mergeCell ref="I59:J59"/>
    <mergeCell ref="A56:J56"/>
    <mergeCell ref="B57:C57"/>
    <mergeCell ref="G57:H57"/>
    <mergeCell ref="I57:J57"/>
    <mergeCell ref="B58:C58"/>
    <mergeCell ref="I63:J63"/>
    <mergeCell ref="B60:C60"/>
    <mergeCell ref="G60:H60"/>
    <mergeCell ref="I60:J60"/>
    <mergeCell ref="B61:C61"/>
    <mergeCell ref="G61:H61"/>
    <mergeCell ref="I61:J61"/>
    <mergeCell ref="G64:H64"/>
    <mergeCell ref="I64:J64"/>
    <mergeCell ref="B65:C65"/>
    <mergeCell ref="G65:H65"/>
    <mergeCell ref="I65:J65"/>
    <mergeCell ref="B62:C62"/>
    <mergeCell ref="G62:H62"/>
    <mergeCell ref="I62:J62"/>
    <mergeCell ref="B63:C63"/>
    <mergeCell ref="G63:H63"/>
    <mergeCell ref="G68:H68"/>
    <mergeCell ref="I68:J68"/>
    <mergeCell ref="A70:F70"/>
    <mergeCell ref="B66:C66"/>
    <mergeCell ref="G66:H66"/>
    <mergeCell ref="I66:J66"/>
    <mergeCell ref="B67:C67"/>
    <mergeCell ref="G67:H67"/>
    <mergeCell ref="I67:J67"/>
    <mergeCell ref="E71:F71"/>
    <mergeCell ref="B72:C72"/>
    <mergeCell ref="E72:F72"/>
    <mergeCell ref="B68:C68"/>
    <mergeCell ref="B64:C64"/>
    <mergeCell ref="B54:C54"/>
    <mergeCell ref="E54:F54"/>
    <mergeCell ref="B59:C59"/>
    <mergeCell ref="B71:C71"/>
    <mergeCell ref="B82:C82"/>
    <mergeCell ref="B85:C85"/>
    <mergeCell ref="D85:G86"/>
    <mergeCell ref="B86:C86"/>
    <mergeCell ref="D87:G87"/>
    <mergeCell ref="A74:F74"/>
    <mergeCell ref="B75:F75"/>
    <mergeCell ref="B76:F76"/>
  </mergeCells>
  <printOptions/>
  <pageMargins left="0.1968503937007874" right="0.15748031496062992" top="0.1968503937007874" bottom="0.1968503937007874" header="0.5118110236220472" footer="0.5118110236220472"/>
  <pageSetup fitToHeight="2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3">
    <pageSetUpPr fitToPage="1"/>
  </sheetPr>
  <dimension ref="A1:N87"/>
  <sheetViews>
    <sheetView showGridLines="0" zoomScale="85" zoomScaleNormal="85" zoomScaleSheetLayoutView="85" zoomScalePageLayoutView="0" workbookViewId="0" topLeftCell="A1">
      <selection activeCell="E24" sqref="E24"/>
    </sheetView>
  </sheetViews>
  <sheetFormatPr defaultColWidth="9.140625" defaultRowHeight="15"/>
  <cols>
    <col min="1" max="1" width="9.140625" style="698" customWidth="1"/>
    <col min="2" max="2" width="51.421875" style="699" customWidth="1"/>
    <col min="3" max="3" width="41.00390625" style="699" customWidth="1"/>
    <col min="4" max="4" width="12.57421875" style="699" customWidth="1"/>
    <col min="5" max="5" width="18.8515625" style="699" customWidth="1"/>
    <col min="6" max="10" width="19.421875" style="703" customWidth="1"/>
    <col min="11" max="11" width="30.8515625" style="712" customWidth="1"/>
    <col min="12" max="16384" width="9.140625" style="699" customWidth="1"/>
  </cols>
  <sheetData>
    <row r="1" spans="6:11" ht="15.75" customHeight="1">
      <c r="F1" s="700" t="s">
        <v>0</v>
      </c>
      <c r="G1" s="255"/>
      <c r="H1" s="257"/>
      <c r="J1" s="257"/>
      <c r="K1" s="701"/>
    </row>
    <row r="2" spans="6:11" ht="15.75">
      <c r="F2" s="701" t="s">
        <v>867</v>
      </c>
      <c r="G2" s="258"/>
      <c r="H2" s="1"/>
      <c r="J2" s="259"/>
      <c r="K2" s="702"/>
    </row>
    <row r="3" spans="6:11" ht="15.75">
      <c r="F3" s="1006" t="str">
        <f>MID(Титульный!$B$47,1,SEARCH(" ",Титульный!$B$47)-1)&amp;" "&amp;MID(Титульный!$B$47,SEARCH(" ",Титульный!$B$47)+1,1)&amp;"."&amp;MID(Титульный!$B$47,SEARCH(" ",Титульный!$B$47,SEARCH(" ",Титульный!$B$47)+1)+1,1)&amp;"."</f>
        <v>Седов Ю.В.</v>
      </c>
      <c r="G3" s="260"/>
      <c r="H3" s="1"/>
      <c r="J3" s="259"/>
      <c r="K3" s="704"/>
    </row>
    <row r="4" spans="6:11" ht="15.75" customHeight="1">
      <c r="F4" s="704" t="s">
        <v>868</v>
      </c>
      <c r="G4" s="255"/>
      <c r="H4" s="257"/>
      <c r="J4" s="257"/>
      <c r="K4" s="705"/>
    </row>
    <row r="5" spans="6:11" ht="15.75">
      <c r="F5" s="705" t="s">
        <v>869</v>
      </c>
      <c r="G5" s="705"/>
      <c r="H5" s="706"/>
      <c r="J5" s="705"/>
      <c r="K5" s="707"/>
    </row>
    <row r="6" spans="6:11" ht="15.75">
      <c r="F6" s="707" t="s">
        <v>219</v>
      </c>
      <c r="G6" s="705"/>
      <c r="H6" s="706"/>
      <c r="J6" s="705"/>
      <c r="K6" s="707"/>
    </row>
    <row r="7" spans="7:11" ht="15.75">
      <c r="G7" s="705"/>
      <c r="H7" s="706"/>
      <c r="I7" s="706"/>
      <c r="J7" s="705"/>
      <c r="K7" s="707"/>
    </row>
    <row r="8" spans="1:14" ht="21" customHeight="1">
      <c r="A8" s="1474" t="s">
        <v>870</v>
      </c>
      <c r="B8" s="1474"/>
      <c r="C8" s="1474"/>
      <c r="D8" s="1474"/>
      <c r="E8" s="1474"/>
      <c r="F8" s="1474"/>
      <c r="G8" s="954"/>
      <c r="H8" s="954"/>
      <c r="I8" s="954"/>
      <c r="J8" s="954"/>
      <c r="K8" s="708"/>
      <c r="L8" s="709"/>
      <c r="M8" s="709"/>
      <c r="N8" s="709"/>
    </row>
    <row r="9" spans="2:14" ht="20.25">
      <c r="B9" s="1493"/>
      <c r="C9" s="1493"/>
      <c r="D9" s="1493"/>
      <c r="E9" s="1493"/>
      <c r="F9" s="1493"/>
      <c r="G9" s="710"/>
      <c r="H9" s="710"/>
      <c r="I9" s="710"/>
      <c r="J9" s="710"/>
      <c r="K9" s="708"/>
      <c r="L9" s="709"/>
      <c r="M9" s="709"/>
      <c r="N9" s="709"/>
    </row>
    <row r="10" spans="1:14" ht="16.5" customHeight="1">
      <c r="A10" s="1475" t="str">
        <f>Титульный!$B$10</f>
        <v>ООО "Дирекция Голицыно-3"</v>
      </c>
      <c r="B10" s="1475"/>
      <c r="C10" s="1475"/>
      <c r="D10" s="1475"/>
      <c r="E10" s="1475"/>
      <c r="F10" s="1475"/>
      <c r="G10" s="955"/>
      <c r="H10" s="955"/>
      <c r="I10" s="955"/>
      <c r="J10" s="955"/>
      <c r="K10" s="708"/>
      <c r="L10" s="709"/>
      <c r="M10" s="709"/>
      <c r="N10" s="709"/>
    </row>
    <row r="11" spans="2:14" ht="20.25">
      <c r="B11" s="1493"/>
      <c r="C11" s="1493"/>
      <c r="D11" s="1493"/>
      <c r="E11" s="1493"/>
      <c r="F11" s="1493"/>
      <c r="G11" s="710"/>
      <c r="H11" s="710"/>
      <c r="I11" s="710"/>
      <c r="J11" s="710"/>
      <c r="K11" s="708"/>
      <c r="L11" s="709"/>
      <c r="M11" s="709"/>
      <c r="N11" s="709"/>
    </row>
    <row r="12" spans="1:14" ht="20.25" customHeight="1">
      <c r="A12" s="1475" t="str">
        <f>IF(Титульный!B11=0,Титульный!B12,IF(Титульный!$B$12=0,Титульный!$B$11,CONCATENATE(Титульный!$B$11,", ",Титульный!$B$12)))</f>
        <v>Наро-Фоминский м.р.</v>
      </c>
      <c r="B12" s="1475"/>
      <c r="C12" s="1475"/>
      <c r="D12" s="1475"/>
      <c r="E12" s="1475"/>
      <c r="F12" s="1475"/>
      <c r="G12" s="955"/>
      <c r="H12" s="955"/>
      <c r="I12" s="955"/>
      <c r="J12" s="955"/>
      <c r="K12" s="708"/>
      <c r="L12" s="709"/>
      <c r="M12" s="709"/>
      <c r="N12" s="709"/>
    </row>
    <row r="13" spans="2:14" ht="16.5" customHeight="1">
      <c r="B13" s="710"/>
      <c r="C13" s="710"/>
      <c r="D13" s="710"/>
      <c r="E13" s="710"/>
      <c r="F13" s="710"/>
      <c r="G13" s="710"/>
      <c r="H13" s="710"/>
      <c r="I13" s="710"/>
      <c r="J13" s="710"/>
      <c r="K13" s="708"/>
      <c r="L13" s="709"/>
      <c r="M13" s="709"/>
      <c r="N13" s="709"/>
    </row>
    <row r="14" spans="1:10" ht="18.75" customHeight="1" thickBot="1">
      <c r="A14" s="1460" t="s">
        <v>230</v>
      </c>
      <c r="B14" s="1460"/>
      <c r="C14" s="1460"/>
      <c r="D14" s="1460"/>
      <c r="E14" s="1460"/>
      <c r="F14" s="1460"/>
      <c r="G14" s="1488"/>
      <c r="H14" s="1488"/>
      <c r="I14" s="1488"/>
      <c r="J14" s="1488"/>
    </row>
    <row r="15" spans="1:11" s="714" customFormat="1" ht="23.25" customHeight="1">
      <c r="A15" s="1489" t="s">
        <v>231</v>
      </c>
      <c r="B15" s="1490"/>
      <c r="C15" s="1491" t="str">
        <f>A10</f>
        <v>ООО "Дирекция Голицыно-3"</v>
      </c>
      <c r="D15" s="1491"/>
      <c r="E15" s="1491"/>
      <c r="F15" s="1490"/>
      <c r="G15" s="1490"/>
      <c r="H15" s="1490"/>
      <c r="I15" s="1490"/>
      <c r="J15" s="1492"/>
      <c r="K15" s="713"/>
    </row>
    <row r="16" spans="1:10" ht="15.75">
      <c r="A16" s="1476" t="s">
        <v>232</v>
      </c>
      <c r="B16" s="1477"/>
      <c r="C16" s="1484"/>
      <c r="D16" s="1484"/>
      <c r="E16" s="1484"/>
      <c r="F16" s="1484"/>
      <c r="G16" s="1485"/>
      <c r="H16" s="1485"/>
      <c r="I16" s="1485"/>
      <c r="J16" s="1486"/>
    </row>
    <row r="17" spans="1:10" ht="15.75">
      <c r="A17" s="1487" t="s">
        <v>233</v>
      </c>
      <c r="B17" s="1477"/>
      <c r="C17" s="1494" t="s">
        <v>234</v>
      </c>
      <c r="D17" s="1494"/>
      <c r="E17" s="1494"/>
      <c r="F17" s="1477"/>
      <c r="G17" s="1477"/>
      <c r="H17" s="1477"/>
      <c r="I17" s="1477"/>
      <c r="J17" s="1479"/>
    </row>
    <row r="18" spans="1:10" ht="15.75">
      <c r="A18" s="1476" t="s">
        <v>232</v>
      </c>
      <c r="B18" s="1477"/>
      <c r="C18" s="1478" t="s">
        <v>235</v>
      </c>
      <c r="D18" s="1478"/>
      <c r="E18" s="1478"/>
      <c r="F18" s="1478"/>
      <c r="G18" s="1477"/>
      <c r="H18" s="1477"/>
      <c r="I18" s="1477"/>
      <c r="J18" s="1479"/>
    </row>
    <row r="19" spans="1:10" ht="16.5" thickBot="1">
      <c r="A19" s="1480" t="s">
        <v>236</v>
      </c>
      <c r="B19" s="1481"/>
      <c r="C19" s="1482" t="str">
        <f>IF(Титульный!B5="2016 - 2018","с 01.01.2016 по 31.12.2018","с 01.01.2016 по 31.12.2016")</f>
        <v>с 01.01.2016 по 31.12.2016</v>
      </c>
      <c r="D19" s="1482"/>
      <c r="E19" s="1482"/>
      <c r="F19" s="1481"/>
      <c r="G19" s="1481"/>
      <c r="H19" s="1481"/>
      <c r="I19" s="1481"/>
      <c r="J19" s="1483"/>
    </row>
    <row r="20" spans="2:10" ht="15.75">
      <c r="B20" s="711"/>
      <c r="C20" s="715"/>
      <c r="D20" s="715"/>
      <c r="E20" s="715"/>
      <c r="F20" s="1084"/>
      <c r="G20" s="1084"/>
      <c r="H20" s="1084"/>
      <c r="I20" s="1084"/>
      <c r="J20" s="1084"/>
    </row>
    <row r="21" spans="1:10" ht="18.75" customHeight="1" thickBot="1">
      <c r="A21" s="1460" t="s">
        <v>237</v>
      </c>
      <c r="B21" s="1460"/>
      <c r="C21" s="1460"/>
      <c r="D21" s="1460"/>
      <c r="E21" s="1460"/>
      <c r="F21" s="1460"/>
      <c r="G21" s="1461"/>
      <c r="H21" s="1461"/>
      <c r="I21" s="1461"/>
      <c r="J21" s="1461"/>
    </row>
    <row r="22" spans="1:10" ht="18" customHeight="1">
      <c r="A22" s="1462" t="s">
        <v>238</v>
      </c>
      <c r="B22" s="1464" t="s">
        <v>239</v>
      </c>
      <c r="C22" s="1465"/>
      <c r="D22" s="1467" t="s">
        <v>221</v>
      </c>
      <c r="E22" s="1469" t="s">
        <v>240</v>
      </c>
      <c r="F22" s="1470"/>
      <c r="G22" s="1470"/>
      <c r="H22" s="1470"/>
      <c r="I22" s="1470"/>
      <c r="J22" s="1471"/>
    </row>
    <row r="23" spans="1:10" ht="33" customHeight="1" thickBot="1">
      <c r="A23" s="1463"/>
      <c r="B23" s="1466"/>
      <c r="C23" s="1466"/>
      <c r="D23" s="1468"/>
      <c r="E23" s="717" t="s">
        <v>241</v>
      </c>
      <c r="F23" s="718" t="s">
        <v>242</v>
      </c>
      <c r="G23" s="719" t="s">
        <v>243</v>
      </c>
      <c r="H23" s="718" t="s">
        <v>293</v>
      </c>
      <c r="I23" s="719" t="s">
        <v>294</v>
      </c>
      <c r="J23" s="718" t="s">
        <v>295</v>
      </c>
    </row>
    <row r="24" spans="1:10" ht="76.5" customHeight="1">
      <c r="A24" s="720">
        <v>1</v>
      </c>
      <c r="B24" s="1495" t="s">
        <v>296</v>
      </c>
      <c r="C24" s="1496"/>
      <c r="D24" s="721" t="s">
        <v>46</v>
      </c>
      <c r="E24" s="722">
        <f aca="true" t="shared" si="0" ref="E24:J24">SUM(E25:E29)</f>
        <v>0</v>
      </c>
      <c r="F24" s="723">
        <f t="shared" si="0"/>
        <v>0</v>
      </c>
      <c r="G24" s="724">
        <f t="shared" si="0"/>
        <v>0</v>
      </c>
      <c r="H24" s="723">
        <f t="shared" si="0"/>
        <v>0</v>
      </c>
      <c r="I24" s="724">
        <f t="shared" si="0"/>
        <v>0</v>
      </c>
      <c r="J24" s="723">
        <f t="shared" si="0"/>
        <v>0</v>
      </c>
    </row>
    <row r="25" spans="1:10" ht="42" customHeight="1">
      <c r="A25" s="866" t="str">
        <f>A$24&amp;"."&amp;ROW(A1)</f>
        <v>1.1</v>
      </c>
      <c r="B25" s="1472" t="str">
        <f>Мероприятия!D13</f>
        <v>Перекладка отдельных участков линий с полной или частичной заменой труб</v>
      </c>
      <c r="C25" s="1473"/>
      <c r="D25" s="726" t="s">
        <v>46</v>
      </c>
      <c r="E25" s="762"/>
      <c r="F25" s="809"/>
      <c r="G25" s="764"/>
      <c r="H25" s="763"/>
      <c r="I25" s="764"/>
      <c r="J25" s="763"/>
    </row>
    <row r="26" spans="1:10" ht="42" customHeight="1">
      <c r="A26" s="867" t="str">
        <f>A$24&amp;"."&amp;ROW(A2)</f>
        <v>1.2</v>
      </c>
      <c r="B26" s="868" t="str">
        <f>Мероприятия!D14</f>
        <v>Замена оборудования, гидрантов, водозаборных колонок, задвижек</v>
      </c>
      <c r="C26" s="869"/>
      <c r="D26" s="726"/>
      <c r="E26" s="762"/>
      <c r="F26" s="809"/>
      <c r="G26" s="764"/>
      <c r="H26" s="763"/>
      <c r="I26" s="764"/>
      <c r="J26" s="763"/>
    </row>
    <row r="27" spans="1:10" ht="42" customHeight="1">
      <c r="A27" s="867" t="str">
        <f>A$24&amp;"."&amp;ROW(A3)</f>
        <v>1.3</v>
      </c>
      <c r="B27" s="868" t="str">
        <f>Мероприятия!D15</f>
        <v>Полная (частичная) реконструкция колодцев (камер)</v>
      </c>
      <c r="C27" s="869"/>
      <c r="D27" s="726"/>
      <c r="E27" s="762"/>
      <c r="F27" s="809"/>
      <c r="G27" s="764"/>
      <c r="H27" s="763"/>
      <c r="I27" s="764"/>
      <c r="J27" s="763"/>
    </row>
    <row r="28" spans="1:10" ht="42" customHeight="1">
      <c r="A28" s="867" t="str">
        <f>A$24&amp;"."&amp;ROW(A4)</f>
        <v>1.4</v>
      </c>
      <c r="B28" s="868">
        <f>Мероприятия!D16</f>
        <v>0</v>
      </c>
      <c r="C28" s="869"/>
      <c r="D28" s="726"/>
      <c r="E28" s="762"/>
      <c r="F28" s="809"/>
      <c r="G28" s="764"/>
      <c r="H28" s="763"/>
      <c r="I28" s="764"/>
      <c r="J28" s="763"/>
    </row>
    <row r="29" spans="1:10" ht="15.75">
      <c r="A29" s="727"/>
      <c r="B29" s="864"/>
      <c r="C29" s="865"/>
      <c r="D29" s="317"/>
      <c r="E29" s="315"/>
      <c r="F29" s="316"/>
      <c r="G29" s="315"/>
      <c r="H29" s="316"/>
      <c r="I29" s="315"/>
      <c r="J29" s="316"/>
    </row>
    <row r="30" spans="1:10" ht="23.25" customHeight="1">
      <c r="A30" s="725">
        <v>2</v>
      </c>
      <c r="B30" s="1431" t="s">
        <v>244</v>
      </c>
      <c r="C30" s="1443"/>
      <c r="D30" s="728" t="s">
        <v>245</v>
      </c>
      <c r="E30" s="1433">
        <f>'Расчет тарифов'!O26</f>
        <v>112</v>
      </c>
      <c r="F30" s="1434"/>
      <c r="G30" s="1435" t="e">
        <f>'Расчет тарифов'!#REF!</f>
        <v>#REF!</v>
      </c>
      <c r="H30" s="1434"/>
      <c r="I30" s="1435" t="e">
        <f>'Расчет тарифов'!#REF!</f>
        <v>#REF!</v>
      </c>
      <c r="J30" s="1434"/>
    </row>
    <row r="31" spans="1:10" ht="41.25" customHeight="1">
      <c r="A31" s="725">
        <v>3</v>
      </c>
      <c r="B31" s="1431" t="s">
        <v>246</v>
      </c>
      <c r="C31" s="1443"/>
      <c r="D31" s="728" t="s">
        <v>46</v>
      </c>
      <c r="E31" s="729">
        <f>'Расчет тарифов'!M165</f>
        <v>3340.4497127199998</v>
      </c>
      <c r="F31" s="730">
        <f>'Расчет тарифов'!O165</f>
        <v>3517.8763364</v>
      </c>
      <c r="G31" s="731" t="e">
        <f>'Расчет тарифов'!#REF!</f>
        <v>#REF!</v>
      </c>
      <c r="H31" s="730" t="e">
        <f>'Расчет тарифов'!#REF!</f>
        <v>#REF!</v>
      </c>
      <c r="I31" s="731" t="e">
        <f>'Расчет тарифов'!#REF!</f>
        <v>#REF!</v>
      </c>
      <c r="J31" s="730" t="e">
        <f>'Расчет тарифов'!#REF!</f>
        <v>#REF!</v>
      </c>
    </row>
    <row r="32" spans="1:10" ht="15.75">
      <c r="A32" s="732">
        <v>4</v>
      </c>
      <c r="B32" s="1431" t="s">
        <v>247</v>
      </c>
      <c r="C32" s="1443"/>
      <c r="D32" s="733"/>
      <c r="E32" s="1444" t="s">
        <v>248</v>
      </c>
      <c r="F32" s="1445"/>
      <c r="G32" s="1446" t="s">
        <v>249</v>
      </c>
      <c r="H32" s="1445"/>
      <c r="I32" s="1446" t="s">
        <v>297</v>
      </c>
      <c r="J32" s="1445"/>
    </row>
    <row r="33" spans="1:10" ht="39" customHeight="1">
      <c r="A33" s="725">
        <v>5</v>
      </c>
      <c r="B33" s="1431" t="s">
        <v>250</v>
      </c>
      <c r="C33" s="1443"/>
      <c r="D33" s="733"/>
      <c r="E33" s="1457"/>
      <c r="F33" s="1458"/>
      <c r="G33" s="1459"/>
      <c r="H33" s="1458"/>
      <c r="I33" s="1459"/>
      <c r="J33" s="1458"/>
    </row>
    <row r="34" spans="1:10" ht="21.75" customHeight="1">
      <c r="A34" s="725" t="s">
        <v>251</v>
      </c>
      <c r="B34" s="1431" t="s">
        <v>252</v>
      </c>
      <c r="C34" s="1443"/>
      <c r="D34" s="733"/>
      <c r="E34" s="1444"/>
      <c r="F34" s="1445"/>
      <c r="G34" s="1446"/>
      <c r="H34" s="1445"/>
      <c r="I34" s="1446"/>
      <c r="J34" s="1445"/>
    </row>
    <row r="35" spans="1:11" ht="81.75" customHeight="1">
      <c r="A35" s="725" t="s">
        <v>253</v>
      </c>
      <c r="B35" s="1431" t="s">
        <v>254</v>
      </c>
      <c r="C35" s="1443"/>
      <c r="D35" s="728" t="s">
        <v>23</v>
      </c>
      <c r="E35" s="1454">
        <f>IF(E37=0,0,E36/E37*100)</f>
        <v>0</v>
      </c>
      <c r="F35" s="1455"/>
      <c r="G35" s="1456">
        <f>IF(G37=0,0,G36/G37*100)</f>
        <v>0</v>
      </c>
      <c r="H35" s="1455"/>
      <c r="I35" s="1456">
        <f>IF(I37=0,0,I36/I37*100)</f>
        <v>0</v>
      </c>
      <c r="J35" s="1455"/>
      <c r="K35" s="734" t="s">
        <v>255</v>
      </c>
    </row>
    <row r="36" spans="1:10" ht="33.75" customHeight="1">
      <c r="A36" s="725"/>
      <c r="B36" s="1447" t="s">
        <v>256</v>
      </c>
      <c r="C36" s="1448"/>
      <c r="D36" s="728" t="s">
        <v>257</v>
      </c>
      <c r="E36" s="1451"/>
      <c r="F36" s="1452"/>
      <c r="G36" s="1453"/>
      <c r="H36" s="1452"/>
      <c r="I36" s="1453"/>
      <c r="J36" s="1452"/>
    </row>
    <row r="37" spans="1:10" ht="21.75" customHeight="1">
      <c r="A37" s="725"/>
      <c r="B37" s="1431" t="s">
        <v>258</v>
      </c>
      <c r="C37" s="1443"/>
      <c r="D37" s="728" t="s">
        <v>257</v>
      </c>
      <c r="E37" s="1451"/>
      <c r="F37" s="1452"/>
      <c r="G37" s="1453"/>
      <c r="H37" s="1452"/>
      <c r="I37" s="1453"/>
      <c r="J37" s="1452"/>
    </row>
    <row r="38" spans="1:11" ht="52.5" customHeight="1">
      <c r="A38" s="725" t="s">
        <v>259</v>
      </c>
      <c r="B38" s="1431" t="s">
        <v>260</v>
      </c>
      <c r="C38" s="1443"/>
      <c r="D38" s="728" t="s">
        <v>23</v>
      </c>
      <c r="E38" s="1454">
        <f>IF(E40=0,0,E39/E40*100)</f>
        <v>0</v>
      </c>
      <c r="F38" s="1455"/>
      <c r="G38" s="1456">
        <f>IF(G40=0,0,G39/G40*100)</f>
        <v>0</v>
      </c>
      <c r="H38" s="1455"/>
      <c r="I38" s="1456">
        <f>IF(I40=0,0,I39/I40*100)</f>
        <v>0</v>
      </c>
      <c r="J38" s="1455"/>
      <c r="K38" s="735" t="s">
        <v>261</v>
      </c>
    </row>
    <row r="39" spans="1:10" ht="54" customHeight="1">
      <c r="A39" s="725"/>
      <c r="B39" s="1447" t="s">
        <v>262</v>
      </c>
      <c r="C39" s="1448"/>
      <c r="D39" s="728" t="s">
        <v>257</v>
      </c>
      <c r="E39" s="1451"/>
      <c r="F39" s="1452"/>
      <c r="G39" s="1453"/>
      <c r="H39" s="1452"/>
      <c r="I39" s="1453"/>
      <c r="J39" s="1452"/>
    </row>
    <row r="40" spans="1:10" ht="15.75">
      <c r="A40" s="725"/>
      <c r="B40" s="1431" t="s">
        <v>258</v>
      </c>
      <c r="C40" s="1443"/>
      <c r="D40" s="728" t="s">
        <v>257</v>
      </c>
      <c r="E40" s="1451"/>
      <c r="F40" s="1452"/>
      <c r="G40" s="1453"/>
      <c r="H40" s="1452"/>
      <c r="I40" s="1453"/>
      <c r="J40" s="1452"/>
    </row>
    <row r="41" spans="1:10" ht="21.75" customHeight="1">
      <c r="A41" s="725" t="s">
        <v>263</v>
      </c>
      <c r="B41" s="1431" t="s">
        <v>264</v>
      </c>
      <c r="C41" s="1443"/>
      <c r="D41" s="733"/>
      <c r="E41" s="1444"/>
      <c r="F41" s="1445"/>
      <c r="G41" s="1446"/>
      <c r="H41" s="1445"/>
      <c r="I41" s="1446"/>
      <c r="J41" s="1445"/>
    </row>
    <row r="42" spans="1:11" ht="137.25" customHeight="1">
      <c r="A42" s="725" t="s">
        <v>169</v>
      </c>
      <c r="B42" s="1431" t="s">
        <v>265</v>
      </c>
      <c r="C42" s="1443"/>
      <c r="D42" s="728" t="s">
        <v>266</v>
      </c>
      <c r="E42" s="1433">
        <f>IF(E43=0,0,E43/E44)</f>
        <v>0</v>
      </c>
      <c r="F42" s="1434"/>
      <c r="G42" s="1435">
        <f>IF(G43=0,0,G43/G44)</f>
        <v>0</v>
      </c>
      <c r="H42" s="1434"/>
      <c r="I42" s="1435">
        <f>IF(I43=0,0,I43/I44)</f>
        <v>0</v>
      </c>
      <c r="J42" s="1434"/>
      <c r="K42" s="734" t="s">
        <v>267</v>
      </c>
    </row>
    <row r="43" spans="1:10" ht="144" customHeight="1">
      <c r="A43" s="725"/>
      <c r="B43" s="1447" t="s">
        <v>268</v>
      </c>
      <c r="C43" s="1448"/>
      <c r="D43" s="728" t="s">
        <v>257</v>
      </c>
      <c r="E43" s="1451"/>
      <c r="F43" s="1452"/>
      <c r="G43" s="1453"/>
      <c r="H43" s="1452"/>
      <c r="I43" s="1453"/>
      <c r="J43" s="1452"/>
    </row>
    <row r="44" spans="1:10" ht="18.75" customHeight="1">
      <c r="A44" s="725"/>
      <c r="B44" s="1431" t="s">
        <v>269</v>
      </c>
      <c r="C44" s="1443"/>
      <c r="D44" s="728" t="s">
        <v>270</v>
      </c>
      <c r="E44" s="1083">
        <v>7.7</v>
      </c>
      <c r="F44" s="901">
        <f>E44</f>
        <v>7.7</v>
      </c>
      <c r="G44" s="1083">
        <v>7.7</v>
      </c>
      <c r="H44" s="901">
        <f>G44</f>
        <v>7.7</v>
      </c>
      <c r="I44" s="1083">
        <v>7.7</v>
      </c>
      <c r="J44" s="901">
        <f>I44</f>
        <v>7.7</v>
      </c>
    </row>
    <row r="45" spans="1:10" ht="21.75" customHeight="1">
      <c r="A45" s="725" t="s">
        <v>271</v>
      </c>
      <c r="B45" s="1431" t="s">
        <v>272</v>
      </c>
      <c r="C45" s="1443"/>
      <c r="D45" s="733"/>
      <c r="E45" s="1444"/>
      <c r="F45" s="1445"/>
      <c r="G45" s="1446"/>
      <c r="H45" s="1445"/>
      <c r="I45" s="1446"/>
      <c r="J45" s="1445"/>
    </row>
    <row r="46" spans="1:11" ht="36" customHeight="1">
      <c r="A46" s="725" t="s">
        <v>273</v>
      </c>
      <c r="B46" s="1431" t="s">
        <v>274</v>
      </c>
      <c r="C46" s="1443"/>
      <c r="D46" s="728" t="s">
        <v>23</v>
      </c>
      <c r="E46" s="1433">
        <f>E47/E48*100</f>
        <v>2.608695652173913</v>
      </c>
      <c r="F46" s="1434"/>
      <c r="G46" s="1435" t="e">
        <f>G47/G48*100</f>
        <v>#REF!</v>
      </c>
      <c r="H46" s="1434"/>
      <c r="I46" s="1435" t="e">
        <f>I47/I48*100</f>
        <v>#REF!</v>
      </c>
      <c r="J46" s="1434"/>
      <c r="K46" s="734" t="s">
        <v>275</v>
      </c>
    </row>
    <row r="47" spans="1:10" ht="34.5" customHeight="1">
      <c r="A47" s="725"/>
      <c r="B47" s="1447" t="s">
        <v>276</v>
      </c>
      <c r="C47" s="1448"/>
      <c r="D47" s="728" t="s">
        <v>277</v>
      </c>
      <c r="E47" s="1433">
        <f>'Расчет тарифов'!O24</f>
        <v>3</v>
      </c>
      <c r="F47" s="1434"/>
      <c r="G47" s="1435" t="e">
        <f>'Расчет тарифов'!#REF!</f>
        <v>#REF!</v>
      </c>
      <c r="H47" s="1434"/>
      <c r="I47" s="1435" t="e">
        <f>'Расчет тарифов'!#REF!</f>
        <v>#REF!</v>
      </c>
      <c r="J47" s="1434"/>
    </row>
    <row r="48" spans="1:10" ht="24" customHeight="1">
      <c r="A48" s="725"/>
      <c r="B48" s="1447" t="s">
        <v>278</v>
      </c>
      <c r="C48" s="1448"/>
      <c r="D48" s="728" t="s">
        <v>708</v>
      </c>
      <c r="E48" s="1433">
        <f>'Расчет тарифов'!O23</f>
        <v>115</v>
      </c>
      <c r="F48" s="1434"/>
      <c r="G48" s="1435" t="e">
        <f>'Расчет тарифов'!#REF!</f>
        <v>#REF!</v>
      </c>
      <c r="H48" s="1434"/>
      <c r="I48" s="1435" t="e">
        <f>'Расчет тарифов'!#REF!</f>
        <v>#REF!</v>
      </c>
      <c r="J48" s="1434"/>
    </row>
    <row r="49" spans="1:11" s="736" customFormat="1" ht="47.25" customHeight="1">
      <c r="A49" s="732" t="s">
        <v>279</v>
      </c>
      <c r="B49" s="1431" t="s">
        <v>852</v>
      </c>
      <c r="C49" s="1432"/>
      <c r="D49" s="728" t="s">
        <v>304</v>
      </c>
      <c r="E49" s="1433">
        <f>E50/E51</f>
        <v>0</v>
      </c>
      <c r="F49" s="1434"/>
      <c r="G49" s="1433" t="e">
        <f>G50/G51</f>
        <v>#REF!</v>
      </c>
      <c r="H49" s="1434"/>
      <c r="I49" s="1433" t="e">
        <f>I50/I51</f>
        <v>#REF!</v>
      </c>
      <c r="J49" s="1434"/>
      <c r="K49" s="735" t="s">
        <v>855</v>
      </c>
    </row>
    <row r="50" spans="1:11" s="736" customFormat="1" ht="31.5" customHeight="1">
      <c r="A50" s="732"/>
      <c r="B50" s="1431" t="s">
        <v>858</v>
      </c>
      <c r="C50" s="1432"/>
      <c r="D50" s="728" t="s">
        <v>52</v>
      </c>
      <c r="E50" s="1439"/>
      <c r="F50" s="1440"/>
      <c r="G50" s="1439"/>
      <c r="H50" s="1440"/>
      <c r="I50" s="1439"/>
      <c r="J50" s="1440"/>
      <c r="K50" s="735"/>
    </row>
    <row r="51" spans="1:11" s="736" customFormat="1" ht="24.75" customHeight="1">
      <c r="A51" s="732"/>
      <c r="B51" s="1421" t="s">
        <v>859</v>
      </c>
      <c r="C51" s="1448"/>
      <c r="D51" s="728" t="s">
        <v>708</v>
      </c>
      <c r="E51" s="1435">
        <f>'Расчет тарифов'!O18</f>
        <v>117</v>
      </c>
      <c r="F51" s="1436"/>
      <c r="G51" s="1435" t="e">
        <f>'Расчет тарифов'!#REF!</f>
        <v>#REF!</v>
      </c>
      <c r="H51" s="1436"/>
      <c r="I51" s="1435" t="e">
        <f>'Расчет тарифов'!#REF!</f>
        <v>#REF!</v>
      </c>
      <c r="J51" s="1436"/>
      <c r="K51" s="735"/>
    </row>
    <row r="52" spans="1:11" s="736" customFormat="1" ht="47.25" customHeight="1">
      <c r="A52" s="732" t="s">
        <v>851</v>
      </c>
      <c r="B52" s="1449" t="s">
        <v>853</v>
      </c>
      <c r="C52" s="1450"/>
      <c r="D52" s="944" t="s">
        <v>304</v>
      </c>
      <c r="E52" s="1435">
        <f>E53/E54</f>
        <v>0</v>
      </c>
      <c r="F52" s="1436"/>
      <c r="G52" s="1435" t="e">
        <f>G53/G54</f>
        <v>#REF!</v>
      </c>
      <c r="H52" s="1436"/>
      <c r="I52" s="1435" t="e">
        <f>I53/I54</f>
        <v>#REF!</v>
      </c>
      <c r="J52" s="1436"/>
      <c r="K52" s="735" t="s">
        <v>856</v>
      </c>
    </row>
    <row r="53" spans="1:11" s="736" customFormat="1" ht="34.5" customHeight="1">
      <c r="A53" s="732"/>
      <c r="B53" s="1431" t="s">
        <v>857</v>
      </c>
      <c r="C53" s="1432"/>
      <c r="D53" s="728" t="s">
        <v>52</v>
      </c>
      <c r="E53" s="1441"/>
      <c r="F53" s="1442"/>
      <c r="G53" s="1441"/>
      <c r="H53" s="1442"/>
      <c r="I53" s="1441"/>
      <c r="J53" s="1442"/>
      <c r="K53" s="737"/>
    </row>
    <row r="54" spans="1:11" s="736" customFormat="1" ht="24" customHeight="1" thickBot="1">
      <c r="A54" s="738"/>
      <c r="B54" s="1406" t="s">
        <v>854</v>
      </c>
      <c r="C54" s="1407"/>
      <c r="D54" s="739" t="s">
        <v>708</v>
      </c>
      <c r="E54" s="1408">
        <f>'Расчет тарифов'!O23</f>
        <v>115</v>
      </c>
      <c r="F54" s="1409"/>
      <c r="G54" s="1408" t="e">
        <f>'Расчет тарифов'!#REF!</f>
        <v>#REF!</v>
      </c>
      <c r="H54" s="1409"/>
      <c r="I54" s="1408" t="e">
        <f>'Расчет тарифов'!#REF!</f>
        <v>#REF!</v>
      </c>
      <c r="J54" s="1409"/>
      <c r="K54" s="737"/>
    </row>
    <row r="55" spans="1:11" s="736" customFormat="1" ht="24" customHeight="1">
      <c r="A55" s="740"/>
      <c r="B55" s="741"/>
      <c r="C55" s="741"/>
      <c r="D55" s="742"/>
      <c r="E55" s="743"/>
      <c r="F55" s="744"/>
      <c r="G55" s="744"/>
      <c r="H55" s="744"/>
      <c r="I55" s="744"/>
      <c r="J55" s="744"/>
      <c r="K55" s="737"/>
    </row>
    <row r="56" spans="1:10" ht="72" customHeight="1" thickBot="1">
      <c r="A56" s="1413" t="s">
        <v>721</v>
      </c>
      <c r="B56" s="1425"/>
      <c r="C56" s="1425"/>
      <c r="D56" s="1425"/>
      <c r="E56" s="1425"/>
      <c r="F56" s="1425"/>
      <c r="G56" s="1425"/>
      <c r="H56" s="1425"/>
      <c r="I56" s="1425"/>
      <c r="J56" s="1426"/>
    </row>
    <row r="57" spans="1:10" ht="67.5" customHeight="1" thickBot="1">
      <c r="A57" s="745" t="s">
        <v>238</v>
      </c>
      <c r="B57" s="1427" t="s">
        <v>239</v>
      </c>
      <c r="C57" s="1428"/>
      <c r="D57" s="746" t="s">
        <v>221</v>
      </c>
      <c r="E57" s="746" t="s">
        <v>298</v>
      </c>
      <c r="F57" s="746" t="s">
        <v>299</v>
      </c>
      <c r="G57" s="1427" t="s">
        <v>300</v>
      </c>
      <c r="H57" s="1397"/>
      <c r="I57" s="1427" t="s">
        <v>301</v>
      </c>
      <c r="J57" s="1397"/>
    </row>
    <row r="58" spans="1:10" ht="23.25" customHeight="1">
      <c r="A58" s="720" t="s">
        <v>280</v>
      </c>
      <c r="B58" s="1429" t="s">
        <v>252</v>
      </c>
      <c r="C58" s="1430"/>
      <c r="D58" s="747"/>
      <c r="E58" s="747"/>
      <c r="F58" s="748"/>
      <c r="G58" s="1437"/>
      <c r="H58" s="1438"/>
      <c r="I58" s="1437"/>
      <c r="J58" s="1438"/>
    </row>
    <row r="59" spans="1:11" ht="23.25" customHeight="1">
      <c r="A59" s="725" t="s">
        <v>14</v>
      </c>
      <c r="B59" s="1404" t="s">
        <v>281</v>
      </c>
      <c r="C59" s="1405"/>
      <c r="D59" s="728" t="s">
        <v>23</v>
      </c>
      <c r="E59" s="261"/>
      <c r="F59" s="749">
        <f>E35</f>
        <v>0</v>
      </c>
      <c r="G59" s="1419"/>
      <c r="H59" s="1420"/>
      <c r="I59" s="1419"/>
      <c r="J59" s="1420"/>
      <c r="K59" s="734" t="s">
        <v>990</v>
      </c>
    </row>
    <row r="60" spans="1:10" ht="21.75" customHeight="1">
      <c r="A60" s="725"/>
      <c r="B60" s="1421" t="s">
        <v>282</v>
      </c>
      <c r="C60" s="1422"/>
      <c r="D60" s="728" t="s">
        <v>23</v>
      </c>
      <c r="E60" s="750" t="s">
        <v>283</v>
      </c>
      <c r="F60" s="749">
        <f>IF(E59=0,0,(F59/E59*100)-100)</f>
        <v>0</v>
      </c>
      <c r="G60" s="1423">
        <f>IF(F59=0,0,(G59/F59*100)-100)</f>
        <v>0</v>
      </c>
      <c r="H60" s="1424">
        <f>IF(G59=0,0,(H59/G59*100)-100)</f>
        <v>0</v>
      </c>
      <c r="I60" s="1423">
        <f>IF(H59=0,0,(I59/H59*100)-100)</f>
        <v>0</v>
      </c>
      <c r="J60" s="1424">
        <f>IF(I59=0,0,(J59/I59*100)-100)</f>
        <v>0</v>
      </c>
    </row>
    <row r="61" spans="1:11" ht="23.25" customHeight="1">
      <c r="A61" s="725" t="s">
        <v>17</v>
      </c>
      <c r="B61" s="1404" t="s">
        <v>284</v>
      </c>
      <c r="C61" s="1405"/>
      <c r="D61" s="728" t="s">
        <v>23</v>
      </c>
      <c r="E61" s="261"/>
      <c r="F61" s="749">
        <f>E38</f>
        <v>0</v>
      </c>
      <c r="G61" s="1419"/>
      <c r="H61" s="1420"/>
      <c r="I61" s="1419"/>
      <c r="J61" s="1420"/>
      <c r="K61" s="735" t="s">
        <v>991</v>
      </c>
    </row>
    <row r="62" spans="1:10" ht="21.75" customHeight="1">
      <c r="A62" s="725"/>
      <c r="B62" s="1421" t="s">
        <v>282</v>
      </c>
      <c r="C62" s="1422"/>
      <c r="D62" s="728" t="s">
        <v>23</v>
      </c>
      <c r="E62" s="750" t="s">
        <v>283</v>
      </c>
      <c r="F62" s="749">
        <f>IF(E61=0,0,(F61/E61*100)-100)</f>
        <v>0</v>
      </c>
      <c r="G62" s="1423">
        <f>IF(F61=0,0,(G61/F61*100)-100)</f>
        <v>0</v>
      </c>
      <c r="H62" s="1424">
        <f>IF(G61=0,0,(H61/G61*100)-100)</f>
        <v>0</v>
      </c>
      <c r="I62" s="1423">
        <f>IF(H61=0,0,(I61/H61*100)-100)</f>
        <v>0</v>
      </c>
      <c r="J62" s="1424">
        <f>IF(I61=0,0,(J61/I61*100)-100)</f>
        <v>0</v>
      </c>
    </row>
    <row r="63" spans="1:10" ht="23.25" customHeight="1">
      <c r="A63" s="725" t="s">
        <v>285</v>
      </c>
      <c r="B63" s="1404" t="s">
        <v>264</v>
      </c>
      <c r="C63" s="1416"/>
      <c r="D63" s="733"/>
      <c r="E63" s="750"/>
      <c r="F63" s="751"/>
      <c r="G63" s="1417"/>
      <c r="H63" s="1418"/>
      <c r="I63" s="1417"/>
      <c r="J63" s="1418"/>
    </row>
    <row r="64" spans="1:11" ht="23.25" customHeight="1">
      <c r="A64" s="725" t="s">
        <v>45</v>
      </c>
      <c r="B64" s="1404" t="s">
        <v>286</v>
      </c>
      <c r="C64" s="1405"/>
      <c r="D64" s="728" t="s">
        <v>266</v>
      </c>
      <c r="E64" s="261"/>
      <c r="F64" s="749">
        <f>E42</f>
        <v>0</v>
      </c>
      <c r="G64" s="1419"/>
      <c r="H64" s="1420"/>
      <c r="I64" s="1419"/>
      <c r="J64" s="1420"/>
      <c r="K64" s="734" t="s">
        <v>992</v>
      </c>
    </row>
    <row r="65" spans="1:10" ht="21.75" customHeight="1">
      <c r="A65" s="725"/>
      <c r="B65" s="1421" t="s">
        <v>282</v>
      </c>
      <c r="C65" s="1422"/>
      <c r="D65" s="728" t="s">
        <v>23</v>
      </c>
      <c r="E65" s="750" t="s">
        <v>283</v>
      </c>
      <c r="F65" s="749">
        <f>IF(E64=0,0,(F64/E64*100)-100)</f>
        <v>0</v>
      </c>
      <c r="G65" s="1423">
        <f>IF(F64=0,0,(G64/F64*100)-100)</f>
        <v>0</v>
      </c>
      <c r="H65" s="1424">
        <f>IF(G64=0,0,(H64/G64*100)-100)</f>
        <v>0</v>
      </c>
      <c r="I65" s="1423">
        <f>IF(H64=0,0,(I64/H64*100)-100)</f>
        <v>0</v>
      </c>
      <c r="J65" s="1424">
        <f>IF(I64=0,0,(J64/I64*100)-100)</f>
        <v>0</v>
      </c>
    </row>
    <row r="66" spans="1:10" ht="23.25" customHeight="1">
      <c r="A66" s="725" t="s">
        <v>152</v>
      </c>
      <c r="B66" s="1404" t="s">
        <v>272</v>
      </c>
      <c r="C66" s="1416"/>
      <c r="D66" s="733"/>
      <c r="E66" s="750"/>
      <c r="F66" s="751"/>
      <c r="G66" s="1417"/>
      <c r="H66" s="1418"/>
      <c r="I66" s="1417"/>
      <c r="J66" s="1418"/>
    </row>
    <row r="67" spans="1:11" ht="39" customHeight="1">
      <c r="A67" s="725" t="s">
        <v>154</v>
      </c>
      <c r="B67" s="1404" t="s">
        <v>287</v>
      </c>
      <c r="C67" s="1405"/>
      <c r="D67" s="728" t="s">
        <v>303</v>
      </c>
      <c r="E67" s="261"/>
      <c r="F67" s="749">
        <f>E49</f>
        <v>0</v>
      </c>
      <c r="G67" s="1419"/>
      <c r="H67" s="1420"/>
      <c r="I67" s="1419"/>
      <c r="J67" s="1420"/>
      <c r="K67" s="735" t="s">
        <v>993</v>
      </c>
    </row>
    <row r="68" spans="1:10" ht="21.75" customHeight="1" thickBot="1">
      <c r="A68" s="752"/>
      <c r="B68" s="1402" t="s">
        <v>282</v>
      </c>
      <c r="C68" s="1403"/>
      <c r="D68" s="739" t="s">
        <v>23</v>
      </c>
      <c r="E68" s="753" t="s">
        <v>283</v>
      </c>
      <c r="F68" s="754">
        <f>IF(E67=0,0,(F67/E67*100)-100)</f>
        <v>0</v>
      </c>
      <c r="G68" s="1411">
        <f>IF(F67=0,0,(G67/F67*100)-100)</f>
        <v>0</v>
      </c>
      <c r="H68" s="1412">
        <f>IF(G67=0,0,(H67/G67*100)-100)</f>
        <v>0</v>
      </c>
      <c r="I68" s="1411">
        <f>IF(H67=0,0,(I67/H67*100)-100)</f>
        <v>0</v>
      </c>
      <c r="J68" s="1412">
        <f>IF(I67=0,0,(J67/I67*100)-100)</f>
        <v>0</v>
      </c>
    </row>
    <row r="69" spans="1:10" ht="21.75" customHeight="1">
      <c r="A69" s="755"/>
      <c r="B69" s="741"/>
      <c r="C69" s="756"/>
      <c r="D69" s="742"/>
      <c r="E69" s="757"/>
      <c r="F69" s="758"/>
      <c r="G69" s="758"/>
      <c r="H69" s="758"/>
      <c r="I69" s="758"/>
      <c r="J69" s="758"/>
    </row>
    <row r="70" spans="1:10" ht="24.75" customHeight="1" thickBot="1">
      <c r="A70" s="1413" t="s">
        <v>288</v>
      </c>
      <c r="B70" s="1414"/>
      <c r="C70" s="1414"/>
      <c r="D70" s="1414"/>
      <c r="E70" s="1414"/>
      <c r="F70" s="1415"/>
      <c r="G70" s="711"/>
      <c r="H70" s="711"/>
      <c r="I70" s="711"/>
      <c r="J70" s="711"/>
    </row>
    <row r="71" spans="1:10" ht="40.5" customHeight="1" thickBot="1">
      <c r="A71" s="745" t="s">
        <v>238</v>
      </c>
      <c r="B71" s="1396" t="s">
        <v>239</v>
      </c>
      <c r="C71" s="1410"/>
      <c r="D71" s="746" t="s">
        <v>221</v>
      </c>
      <c r="E71" s="1396" t="s">
        <v>302</v>
      </c>
      <c r="F71" s="1397"/>
      <c r="G71" s="1084"/>
      <c r="H71" s="1084"/>
      <c r="I71" s="1084"/>
      <c r="J71" s="1084"/>
    </row>
    <row r="72" spans="1:10" ht="23.25" customHeight="1" thickBot="1">
      <c r="A72" s="759" t="s">
        <v>280</v>
      </c>
      <c r="B72" s="1398" t="s">
        <v>289</v>
      </c>
      <c r="C72" s="1399"/>
      <c r="D72" s="760" t="s">
        <v>46</v>
      </c>
      <c r="E72" s="1400">
        <f>'Расчет тарифов'!H152</f>
        <v>2873.834074639472</v>
      </c>
      <c r="F72" s="1401"/>
      <c r="G72" s="761"/>
      <c r="H72" s="761"/>
      <c r="I72" s="761"/>
      <c r="J72" s="761"/>
    </row>
    <row r="74" spans="1:10" ht="24.75" customHeight="1">
      <c r="A74" s="1391" t="s">
        <v>290</v>
      </c>
      <c r="B74" s="1392"/>
      <c r="C74" s="1392"/>
      <c r="D74" s="1392"/>
      <c r="E74" s="1392"/>
      <c r="F74" s="1393"/>
      <c r="G74" s="1084"/>
      <c r="H74" s="1084"/>
      <c r="I74" s="1084"/>
      <c r="J74" s="1084"/>
    </row>
    <row r="75" spans="1:11" s="964" customFormat="1" ht="23.25" customHeight="1">
      <c r="A75" s="962" t="s">
        <v>280</v>
      </c>
      <c r="B75" s="1394" t="s">
        <v>291</v>
      </c>
      <c r="C75" s="1395"/>
      <c r="D75" s="1395"/>
      <c r="E75" s="1395"/>
      <c r="F75" s="1395"/>
      <c r="G75" s="963"/>
      <c r="H75" s="963"/>
      <c r="I75" s="963"/>
      <c r="J75" s="963"/>
      <c r="K75" s="702"/>
    </row>
    <row r="76" spans="1:11" s="964" customFormat="1" ht="23.25" customHeight="1">
      <c r="A76" s="962" t="s">
        <v>285</v>
      </c>
      <c r="B76" s="1394" t="s">
        <v>292</v>
      </c>
      <c r="C76" s="1395"/>
      <c r="D76" s="1395"/>
      <c r="E76" s="1395"/>
      <c r="F76" s="1395"/>
      <c r="G76" s="963"/>
      <c r="H76" s="963"/>
      <c r="I76" s="963"/>
      <c r="J76" s="963"/>
      <c r="K76" s="702"/>
    </row>
    <row r="79" spans="2:7" ht="15.75">
      <c r="B79" s="877" t="s">
        <v>654</v>
      </c>
      <c r="C79" s="877"/>
      <c r="D79" s="877" t="s">
        <v>729</v>
      </c>
      <c r="E79" s="877"/>
      <c r="F79" s="877"/>
      <c r="G79" s="877"/>
    </row>
    <row r="80" spans="2:7" ht="15.75">
      <c r="B80" s="878"/>
      <c r="C80" s="878"/>
      <c r="D80" s="1007" t="s">
        <v>728</v>
      </c>
      <c r="E80" s="1007" t="s">
        <v>873</v>
      </c>
      <c r="G80" s="878"/>
    </row>
    <row r="81" spans="2:7" ht="15.75">
      <c r="B81" s="878"/>
      <c r="C81" s="878"/>
      <c r="D81" s="878"/>
      <c r="E81" s="878"/>
      <c r="F81" s="878"/>
      <c r="G81" s="878"/>
    </row>
    <row r="82" spans="2:7" ht="15.75">
      <c r="B82" s="1387" t="s">
        <v>215</v>
      </c>
      <c r="C82" s="1387"/>
      <c r="D82" s="878"/>
      <c r="E82" s="878"/>
      <c r="F82" s="878"/>
      <c r="G82" s="878"/>
    </row>
    <row r="83" spans="2:7" ht="15.75">
      <c r="B83" s="879"/>
      <c r="C83" s="879"/>
      <c r="D83" s="880" t="s">
        <v>305</v>
      </c>
      <c r="E83" s="881"/>
      <c r="F83" s="881"/>
      <c r="G83" s="882"/>
    </row>
    <row r="84" spans="2:7" ht="15.75">
      <c r="B84" s="879"/>
      <c r="C84" s="879"/>
      <c r="D84" s="883" t="s">
        <v>1</v>
      </c>
      <c r="E84" s="877"/>
      <c r="F84" s="881"/>
      <c r="G84" s="882"/>
    </row>
    <row r="85" spans="2:7" ht="15.75">
      <c r="B85" s="1387" t="s">
        <v>216</v>
      </c>
      <c r="C85" s="1387"/>
      <c r="D85" s="1388" t="s">
        <v>217</v>
      </c>
      <c r="E85" s="1388"/>
      <c r="F85" s="1388"/>
      <c r="G85" s="1388"/>
    </row>
    <row r="86" spans="2:7" ht="15.75">
      <c r="B86" s="1389" t="s">
        <v>218</v>
      </c>
      <c r="C86" s="1389"/>
      <c r="D86" s="1388"/>
      <c r="E86" s="1388"/>
      <c r="F86" s="1388"/>
      <c r="G86" s="1388"/>
    </row>
    <row r="87" spans="2:7" ht="15.75">
      <c r="B87" s="878"/>
      <c r="C87" s="878"/>
      <c r="D87" s="1390" t="s">
        <v>989</v>
      </c>
      <c r="E87" s="1390"/>
      <c r="F87" s="1390"/>
      <c r="G87" s="1390"/>
    </row>
  </sheetData>
  <sheetProtection formatColumns="0"/>
  <mergeCells count="167">
    <mergeCell ref="A8:F8"/>
    <mergeCell ref="B9:F9"/>
    <mergeCell ref="A10:F10"/>
    <mergeCell ref="B11:F11"/>
    <mergeCell ref="A12:F12"/>
    <mergeCell ref="A14:J14"/>
    <mergeCell ref="A15:B15"/>
    <mergeCell ref="C15:J15"/>
    <mergeCell ref="A16:B16"/>
    <mergeCell ref="C16:J16"/>
    <mergeCell ref="A17:B17"/>
    <mergeCell ref="C17:J17"/>
    <mergeCell ref="A18:B18"/>
    <mergeCell ref="C18:J18"/>
    <mergeCell ref="A19:B19"/>
    <mergeCell ref="C19:J19"/>
    <mergeCell ref="A21:J21"/>
    <mergeCell ref="A22:A23"/>
    <mergeCell ref="B22:C23"/>
    <mergeCell ref="D22:D23"/>
    <mergeCell ref="E22:J22"/>
    <mergeCell ref="B24:C24"/>
    <mergeCell ref="B25:C25"/>
    <mergeCell ref="B30:C30"/>
    <mergeCell ref="E30:F30"/>
    <mergeCell ref="G30:H30"/>
    <mergeCell ref="I30:J30"/>
    <mergeCell ref="B31:C31"/>
    <mergeCell ref="B32:C32"/>
    <mergeCell ref="E32:F32"/>
    <mergeCell ref="G32:H32"/>
    <mergeCell ref="I32:J32"/>
    <mergeCell ref="B33:C33"/>
    <mergeCell ref="E33:F33"/>
    <mergeCell ref="G33:H33"/>
    <mergeCell ref="I33:J33"/>
    <mergeCell ref="B34:C34"/>
    <mergeCell ref="E34:F34"/>
    <mergeCell ref="G34:H34"/>
    <mergeCell ref="I34:J34"/>
    <mergeCell ref="B35:C35"/>
    <mergeCell ref="E35:F35"/>
    <mergeCell ref="G35:H35"/>
    <mergeCell ref="I35:J35"/>
    <mergeCell ref="B36:C36"/>
    <mergeCell ref="E36:F36"/>
    <mergeCell ref="G36:H36"/>
    <mergeCell ref="I36:J36"/>
    <mergeCell ref="B37:C37"/>
    <mergeCell ref="E37:F37"/>
    <mergeCell ref="G37:H37"/>
    <mergeCell ref="I37:J37"/>
    <mergeCell ref="B38:C38"/>
    <mergeCell ref="E38:F38"/>
    <mergeCell ref="G38:H38"/>
    <mergeCell ref="I38:J38"/>
    <mergeCell ref="B39:C39"/>
    <mergeCell ref="E39:F39"/>
    <mergeCell ref="G39:H39"/>
    <mergeCell ref="I39:J39"/>
    <mergeCell ref="B40:C40"/>
    <mergeCell ref="E40:F40"/>
    <mergeCell ref="G40:H40"/>
    <mergeCell ref="I40:J40"/>
    <mergeCell ref="B41:C41"/>
    <mergeCell ref="E41:F41"/>
    <mergeCell ref="G41:H41"/>
    <mergeCell ref="I41:J41"/>
    <mergeCell ref="B42:C42"/>
    <mergeCell ref="E42:F42"/>
    <mergeCell ref="G42:H42"/>
    <mergeCell ref="I42:J42"/>
    <mergeCell ref="B43:C43"/>
    <mergeCell ref="E43:F43"/>
    <mergeCell ref="G43:H43"/>
    <mergeCell ref="I43:J43"/>
    <mergeCell ref="B44:C44"/>
    <mergeCell ref="B45:C45"/>
    <mergeCell ref="E45:F45"/>
    <mergeCell ref="G45:H45"/>
    <mergeCell ref="I45:J45"/>
    <mergeCell ref="B46:C46"/>
    <mergeCell ref="E46:F46"/>
    <mergeCell ref="G46:H46"/>
    <mergeCell ref="I46:J46"/>
    <mergeCell ref="B47:C47"/>
    <mergeCell ref="E47:F47"/>
    <mergeCell ref="G47:H47"/>
    <mergeCell ref="I47:J47"/>
    <mergeCell ref="B48:C48"/>
    <mergeCell ref="E48:F48"/>
    <mergeCell ref="G48:H48"/>
    <mergeCell ref="I48:J48"/>
    <mergeCell ref="B49:C49"/>
    <mergeCell ref="E49:F49"/>
    <mergeCell ref="G49:H49"/>
    <mergeCell ref="I49:J49"/>
    <mergeCell ref="B50:C50"/>
    <mergeCell ref="E50:F50"/>
    <mergeCell ref="G50:H50"/>
    <mergeCell ref="I50:J50"/>
    <mergeCell ref="B51:C51"/>
    <mergeCell ref="E51:F51"/>
    <mergeCell ref="G51:H51"/>
    <mergeCell ref="I51:J51"/>
    <mergeCell ref="B52:C52"/>
    <mergeCell ref="E52:F52"/>
    <mergeCell ref="G52:H52"/>
    <mergeCell ref="I52:J52"/>
    <mergeCell ref="B53:C53"/>
    <mergeCell ref="E53:F53"/>
    <mergeCell ref="G53:H53"/>
    <mergeCell ref="I53:J53"/>
    <mergeCell ref="B54:C54"/>
    <mergeCell ref="E54:F54"/>
    <mergeCell ref="G54:H54"/>
    <mergeCell ref="I54:J54"/>
    <mergeCell ref="A56:J56"/>
    <mergeCell ref="B57:C57"/>
    <mergeCell ref="G57:H57"/>
    <mergeCell ref="I57:J57"/>
    <mergeCell ref="B58:C58"/>
    <mergeCell ref="G58:H58"/>
    <mergeCell ref="I58:J58"/>
    <mergeCell ref="B59:C59"/>
    <mergeCell ref="G59:H59"/>
    <mergeCell ref="I59:J59"/>
    <mergeCell ref="B60:C60"/>
    <mergeCell ref="G60:H60"/>
    <mergeCell ref="I60:J60"/>
    <mergeCell ref="B61:C61"/>
    <mergeCell ref="G61:H61"/>
    <mergeCell ref="I61:J61"/>
    <mergeCell ref="B62:C62"/>
    <mergeCell ref="G62:H62"/>
    <mergeCell ref="I62:J62"/>
    <mergeCell ref="B63:C63"/>
    <mergeCell ref="G63:H63"/>
    <mergeCell ref="I63:J63"/>
    <mergeCell ref="B64:C64"/>
    <mergeCell ref="G64:H64"/>
    <mergeCell ref="I64:J64"/>
    <mergeCell ref="B65:C65"/>
    <mergeCell ref="G65:H65"/>
    <mergeCell ref="I65:J65"/>
    <mergeCell ref="B66:C66"/>
    <mergeCell ref="G66:H66"/>
    <mergeCell ref="I66:J66"/>
    <mergeCell ref="B67:C67"/>
    <mergeCell ref="G67:H67"/>
    <mergeCell ref="I67:J67"/>
    <mergeCell ref="B68:C68"/>
    <mergeCell ref="G68:H68"/>
    <mergeCell ref="I68:J68"/>
    <mergeCell ref="A70:F70"/>
    <mergeCell ref="B71:C71"/>
    <mergeCell ref="E71:F71"/>
    <mergeCell ref="B72:C72"/>
    <mergeCell ref="E72:F72"/>
    <mergeCell ref="A74:F74"/>
    <mergeCell ref="D87:G87"/>
    <mergeCell ref="B75:F75"/>
    <mergeCell ref="B76:F76"/>
    <mergeCell ref="B82:C82"/>
    <mergeCell ref="B85:C85"/>
    <mergeCell ref="D85:G86"/>
    <mergeCell ref="B86:C86"/>
  </mergeCells>
  <printOptions/>
  <pageMargins left="0.1968503937007874" right="0.15748031496062992" top="0.1968503937007874" bottom="0.1968503937007874" header="0.5118110236220472" footer="0.5118110236220472"/>
  <pageSetup fitToHeight="2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N87"/>
  <sheetViews>
    <sheetView showGridLines="0" zoomScale="85" zoomScaleNormal="85" zoomScaleSheetLayoutView="85" zoomScalePageLayoutView="0" workbookViewId="0" topLeftCell="A40">
      <selection activeCell="I45" sqref="I45:J45"/>
    </sheetView>
  </sheetViews>
  <sheetFormatPr defaultColWidth="9.140625" defaultRowHeight="15"/>
  <cols>
    <col min="1" max="1" width="9.140625" style="698" customWidth="1"/>
    <col min="2" max="2" width="51.421875" style="699" customWidth="1"/>
    <col min="3" max="3" width="41.00390625" style="699" customWidth="1"/>
    <col min="4" max="4" width="12.57421875" style="699" customWidth="1"/>
    <col min="5" max="5" width="18.8515625" style="699" customWidth="1"/>
    <col min="6" max="10" width="19.421875" style="703" customWidth="1"/>
    <col min="11" max="11" width="30.8515625" style="712" customWidth="1"/>
    <col min="12" max="16384" width="9.140625" style="699" customWidth="1"/>
  </cols>
  <sheetData>
    <row r="1" spans="6:11" ht="15.75" customHeight="1">
      <c r="F1" s="700"/>
      <c r="G1" s="255"/>
      <c r="H1" s="257"/>
      <c r="I1" s="703" t="s">
        <v>1186</v>
      </c>
      <c r="J1" s="257"/>
      <c r="K1" s="701"/>
    </row>
    <row r="2" spans="6:11" ht="15.75">
      <c r="F2" s="701"/>
      <c r="G2" s="258"/>
      <c r="H2" s="1"/>
      <c r="I2" s="703" t="s">
        <v>1187</v>
      </c>
      <c r="J2" s="259"/>
      <c r="K2" s="702"/>
    </row>
    <row r="3" spans="6:11" ht="15.75">
      <c r="F3" s="706"/>
      <c r="G3" s="260"/>
      <c r="H3" s="1"/>
      <c r="I3" s="703" t="s">
        <v>1188</v>
      </c>
      <c r="J3" s="259"/>
      <c r="K3" s="704"/>
    </row>
    <row r="4" spans="6:11" ht="15.75" customHeight="1">
      <c r="F4" s="704"/>
      <c r="G4" s="255"/>
      <c r="H4" s="257"/>
      <c r="I4" s="703" t="s">
        <v>1189</v>
      </c>
      <c r="J4" s="257"/>
      <c r="K4" s="705"/>
    </row>
    <row r="5" spans="6:11" ht="15.75">
      <c r="F5" s="705"/>
      <c r="G5" s="705"/>
      <c r="H5" s="706"/>
      <c r="I5" s="703" t="s">
        <v>1190</v>
      </c>
      <c r="J5" s="705"/>
      <c r="K5" s="707"/>
    </row>
    <row r="6" spans="6:11" ht="15.75">
      <c r="F6" s="707"/>
      <c r="G6" s="705"/>
      <c r="H6" s="706"/>
      <c r="J6" s="705"/>
      <c r="K6" s="707"/>
    </row>
    <row r="7" spans="7:11" ht="15.75">
      <c r="G7" s="705"/>
      <c r="H7" s="706"/>
      <c r="I7" s="706"/>
      <c r="J7" s="705"/>
      <c r="K7" s="707"/>
    </row>
    <row r="8" spans="1:14" ht="21" customHeight="1">
      <c r="A8" s="1474" t="s">
        <v>870</v>
      </c>
      <c r="B8" s="1474"/>
      <c r="C8" s="1474"/>
      <c r="D8" s="1474"/>
      <c r="E8" s="1474"/>
      <c r="F8" s="1474"/>
      <c r="G8" s="954"/>
      <c r="H8" s="954"/>
      <c r="I8" s="954"/>
      <c r="J8" s="954"/>
      <c r="K8" s="708"/>
      <c r="L8" s="709"/>
      <c r="M8" s="709"/>
      <c r="N8" s="709"/>
    </row>
    <row r="9" spans="2:14" ht="20.25">
      <c r="B9" s="1493"/>
      <c r="C9" s="1493"/>
      <c r="D9" s="1493"/>
      <c r="E9" s="1493"/>
      <c r="F9" s="1493"/>
      <c r="G9" s="710"/>
      <c r="H9" s="710"/>
      <c r="I9" s="710"/>
      <c r="J9" s="710"/>
      <c r="K9" s="708"/>
      <c r="L9" s="709"/>
      <c r="M9" s="709"/>
      <c r="N9" s="709"/>
    </row>
    <row r="10" spans="1:14" ht="16.5" customHeight="1">
      <c r="A10" s="1475" t="str">
        <f>Титульный!$B$10</f>
        <v>ООО "Дирекция Голицыно-3"</v>
      </c>
      <c r="B10" s="1475"/>
      <c r="C10" s="1475"/>
      <c r="D10" s="1475"/>
      <c r="E10" s="1475"/>
      <c r="F10" s="1475"/>
      <c r="G10" s="955"/>
      <c r="H10" s="955"/>
      <c r="I10" s="955"/>
      <c r="J10" s="955"/>
      <c r="K10" s="708"/>
      <c r="L10" s="709"/>
      <c r="M10" s="709"/>
      <c r="N10" s="709"/>
    </row>
    <row r="11" spans="2:14" ht="20.25">
      <c r="B11" s="1493"/>
      <c r="C11" s="1493"/>
      <c r="D11" s="1493"/>
      <c r="E11" s="1493"/>
      <c r="F11" s="1493"/>
      <c r="G11" s="710"/>
      <c r="H11" s="710"/>
      <c r="I11" s="710"/>
      <c r="J11" s="710"/>
      <c r="K11" s="708"/>
      <c r="L11" s="709"/>
      <c r="M11" s="709"/>
      <c r="N11" s="709"/>
    </row>
    <row r="12" spans="1:14" ht="20.25" customHeight="1">
      <c r="A12" s="1475" t="str">
        <f>IF(Титульный!B11=0,Титульный!B12,IF(Титульный!$B$12=0,Титульный!$B$11,CONCATENATE(Титульный!$B$11,", ",Титульный!$B$12)))</f>
        <v>Наро-Фоминский м.р.</v>
      </c>
      <c r="B12" s="1475"/>
      <c r="C12" s="1475"/>
      <c r="D12" s="1475"/>
      <c r="E12" s="1475"/>
      <c r="F12" s="1475"/>
      <c r="G12" s="955"/>
      <c r="H12" s="955"/>
      <c r="I12" s="955"/>
      <c r="J12" s="955"/>
      <c r="K12" s="708"/>
      <c r="L12" s="709"/>
      <c r="M12" s="709"/>
      <c r="N12" s="709"/>
    </row>
    <row r="13" spans="2:14" ht="16.5" customHeight="1">
      <c r="B13" s="710"/>
      <c r="C13" s="710"/>
      <c r="D13" s="710"/>
      <c r="E13" s="710"/>
      <c r="F13" s="710"/>
      <c r="G13" s="710"/>
      <c r="H13" s="710"/>
      <c r="I13" s="710"/>
      <c r="J13" s="710"/>
      <c r="K13" s="708"/>
      <c r="L13" s="709"/>
      <c r="M13" s="709"/>
      <c r="N13" s="709"/>
    </row>
    <row r="14" spans="1:10" ht="18.75" customHeight="1" thickBot="1">
      <c r="A14" s="1460" t="s">
        <v>230</v>
      </c>
      <c r="B14" s="1460"/>
      <c r="C14" s="1460"/>
      <c r="D14" s="1460"/>
      <c r="E14" s="1460"/>
      <c r="F14" s="1460"/>
      <c r="G14" s="1488"/>
      <c r="H14" s="1488"/>
      <c r="I14" s="1488"/>
      <c r="J14" s="1488"/>
    </row>
    <row r="15" spans="1:11" s="714" customFormat="1" ht="23.25" customHeight="1">
      <c r="A15" s="1489" t="s">
        <v>231</v>
      </c>
      <c r="B15" s="1490"/>
      <c r="C15" s="1491" t="str">
        <f>A10</f>
        <v>ООО "Дирекция Голицыно-3"</v>
      </c>
      <c r="D15" s="1491"/>
      <c r="E15" s="1491"/>
      <c r="F15" s="1490"/>
      <c r="G15" s="1490"/>
      <c r="H15" s="1490"/>
      <c r="I15" s="1490"/>
      <c r="J15" s="1492"/>
      <c r="K15" s="713"/>
    </row>
    <row r="16" spans="1:10" ht="15.75">
      <c r="A16" s="1476" t="s">
        <v>232</v>
      </c>
      <c r="B16" s="1477"/>
      <c r="C16" s="1484"/>
      <c r="D16" s="1484"/>
      <c r="E16" s="1484"/>
      <c r="F16" s="1484"/>
      <c r="G16" s="1485"/>
      <c r="H16" s="1485"/>
      <c r="I16" s="1485"/>
      <c r="J16" s="1486"/>
    </row>
    <row r="17" spans="1:10" ht="15.75">
      <c r="A17" s="1487" t="s">
        <v>233</v>
      </c>
      <c r="B17" s="1477"/>
      <c r="C17" s="1494" t="s">
        <v>234</v>
      </c>
      <c r="D17" s="1494"/>
      <c r="E17" s="1494"/>
      <c r="F17" s="1477"/>
      <c r="G17" s="1477"/>
      <c r="H17" s="1477"/>
      <c r="I17" s="1477"/>
      <c r="J17" s="1479"/>
    </row>
    <row r="18" spans="1:10" ht="15.75">
      <c r="A18" s="1476" t="s">
        <v>232</v>
      </c>
      <c r="B18" s="1477"/>
      <c r="C18" s="1478" t="s">
        <v>235</v>
      </c>
      <c r="D18" s="1478"/>
      <c r="E18" s="1478"/>
      <c r="F18" s="1478"/>
      <c r="G18" s="1477"/>
      <c r="H18" s="1477"/>
      <c r="I18" s="1477"/>
      <c r="J18" s="1479"/>
    </row>
    <row r="19" spans="1:10" ht="16.5" thickBot="1">
      <c r="A19" s="1480" t="s">
        <v>236</v>
      </c>
      <c r="B19" s="1481"/>
      <c r="C19" s="1482" t="str">
        <f>IF(Титульный!B5="2016 - 2018","с 01.01.2016 по 31.12.2018","с 01.01.2016 по 31.12.2016")</f>
        <v>с 01.01.2016 по 31.12.2016</v>
      </c>
      <c r="D19" s="1482"/>
      <c r="E19" s="1482"/>
      <c r="F19" s="1481"/>
      <c r="G19" s="1481"/>
      <c r="H19" s="1481"/>
      <c r="I19" s="1481"/>
      <c r="J19" s="1483"/>
    </row>
    <row r="20" spans="2:10" ht="15.75">
      <c r="B20" s="711"/>
      <c r="C20" s="715"/>
      <c r="D20" s="715"/>
      <c r="E20" s="715"/>
      <c r="F20" s="1084"/>
      <c r="G20" s="1084"/>
      <c r="H20" s="1084"/>
      <c r="I20" s="1084"/>
      <c r="J20" s="1084"/>
    </row>
    <row r="21" spans="1:10" ht="18.75" customHeight="1" thickBot="1">
      <c r="A21" s="1460" t="s">
        <v>237</v>
      </c>
      <c r="B21" s="1460"/>
      <c r="C21" s="1460"/>
      <c r="D21" s="1460"/>
      <c r="E21" s="1460"/>
      <c r="F21" s="1460"/>
      <c r="G21" s="1461"/>
      <c r="H21" s="1461"/>
      <c r="I21" s="1461"/>
      <c r="J21" s="1461"/>
    </row>
    <row r="22" spans="1:10" ht="18" customHeight="1">
      <c r="A22" s="1462" t="s">
        <v>238</v>
      </c>
      <c r="B22" s="1464" t="s">
        <v>239</v>
      </c>
      <c r="C22" s="1465"/>
      <c r="D22" s="1467" t="s">
        <v>221</v>
      </c>
      <c r="E22" s="1469" t="s">
        <v>240</v>
      </c>
      <c r="F22" s="1470"/>
      <c r="G22" s="1470"/>
      <c r="H22" s="1470"/>
      <c r="I22" s="1470"/>
      <c r="J22" s="1471"/>
    </row>
    <row r="23" spans="1:10" ht="33" customHeight="1" thickBot="1">
      <c r="A23" s="1463"/>
      <c r="B23" s="1466"/>
      <c r="C23" s="1466"/>
      <c r="D23" s="1468"/>
      <c r="E23" s="717" t="s">
        <v>241</v>
      </c>
      <c r="F23" s="718" t="s">
        <v>242</v>
      </c>
      <c r="G23" s="719" t="s">
        <v>243</v>
      </c>
      <c r="H23" s="718" t="s">
        <v>293</v>
      </c>
      <c r="I23" s="719" t="s">
        <v>294</v>
      </c>
      <c r="J23" s="718" t="s">
        <v>295</v>
      </c>
    </row>
    <row r="24" spans="1:10" ht="76.5" customHeight="1">
      <c r="A24" s="720">
        <v>1</v>
      </c>
      <c r="B24" s="1495" t="s">
        <v>296</v>
      </c>
      <c r="C24" s="1496"/>
      <c r="D24" s="721" t="s">
        <v>46</v>
      </c>
      <c r="E24" s="722">
        <f aca="true" t="shared" si="0" ref="E24:J24">SUM(E25:E29)</f>
        <v>0</v>
      </c>
      <c r="F24" s="723">
        <f t="shared" si="0"/>
        <v>0</v>
      </c>
      <c r="G24" s="724">
        <f t="shared" si="0"/>
        <v>0</v>
      </c>
      <c r="H24" s="723">
        <f t="shared" si="0"/>
        <v>0</v>
      </c>
      <c r="I24" s="724">
        <f t="shared" si="0"/>
        <v>0</v>
      </c>
      <c r="J24" s="723">
        <f t="shared" si="0"/>
        <v>0</v>
      </c>
    </row>
    <row r="25" spans="1:10" ht="42" customHeight="1">
      <c r="A25" s="866" t="str">
        <f>A$24&amp;"."&amp;ROW(A1)</f>
        <v>1.1</v>
      </c>
      <c r="B25" s="1472" t="str">
        <f>Мероприятия!D13</f>
        <v>Перекладка отдельных участков линий с полной или частичной заменой труб</v>
      </c>
      <c r="C25" s="1473"/>
      <c r="D25" s="726" t="s">
        <v>46</v>
      </c>
      <c r="E25" s="762"/>
      <c r="F25" s="809"/>
      <c r="G25" s="764"/>
      <c r="H25" s="763"/>
      <c r="I25" s="764"/>
      <c r="J25" s="763"/>
    </row>
    <row r="26" spans="1:10" ht="42" customHeight="1">
      <c r="A26" s="867" t="str">
        <f>A$24&amp;"."&amp;ROW(A2)</f>
        <v>1.2</v>
      </c>
      <c r="B26" s="868" t="str">
        <f>Мероприятия!D14</f>
        <v>Замена оборудования, гидрантов, водозаборных колонок, задвижек</v>
      </c>
      <c r="C26" s="869"/>
      <c r="D26" s="726"/>
      <c r="E26" s="762"/>
      <c r="F26" s="809"/>
      <c r="G26" s="764"/>
      <c r="H26" s="763"/>
      <c r="I26" s="764"/>
      <c r="J26" s="763"/>
    </row>
    <row r="27" spans="1:10" ht="42" customHeight="1">
      <c r="A27" s="867" t="str">
        <f>A$24&amp;"."&amp;ROW(A3)</f>
        <v>1.3</v>
      </c>
      <c r="B27" s="868" t="str">
        <f>Мероприятия!D15</f>
        <v>Полная (частичная) реконструкция колодцев (камер)</v>
      </c>
      <c r="C27" s="869"/>
      <c r="D27" s="726"/>
      <c r="E27" s="762"/>
      <c r="F27" s="809"/>
      <c r="G27" s="764"/>
      <c r="H27" s="763"/>
      <c r="I27" s="764"/>
      <c r="J27" s="763"/>
    </row>
    <row r="28" spans="1:10" ht="42" customHeight="1">
      <c r="A28" s="867" t="str">
        <f>A$24&amp;"."&amp;ROW(A4)</f>
        <v>1.4</v>
      </c>
      <c r="B28" s="868">
        <f>Мероприятия!D16</f>
        <v>0</v>
      </c>
      <c r="C28" s="869"/>
      <c r="D28" s="726"/>
      <c r="E28" s="762"/>
      <c r="F28" s="809"/>
      <c r="G28" s="764"/>
      <c r="H28" s="763"/>
      <c r="I28" s="764"/>
      <c r="J28" s="763"/>
    </row>
    <row r="29" spans="1:10" ht="15.75">
      <c r="A29" s="727"/>
      <c r="B29" s="864"/>
      <c r="C29" s="865"/>
      <c r="D29" s="317"/>
      <c r="E29" s="315"/>
      <c r="F29" s="316"/>
      <c r="G29" s="315"/>
      <c r="H29" s="316"/>
      <c r="I29" s="315"/>
      <c r="J29" s="316"/>
    </row>
    <row r="30" spans="1:10" ht="23.25" customHeight="1">
      <c r="A30" s="725">
        <v>2</v>
      </c>
      <c r="B30" s="1431" t="s">
        <v>244</v>
      </c>
      <c r="C30" s="1443"/>
      <c r="D30" s="728" t="s">
        <v>245</v>
      </c>
      <c r="E30" s="1433">
        <f>'Расчет тарифов'!O26</f>
        <v>112</v>
      </c>
      <c r="F30" s="1434"/>
      <c r="G30" s="1435" t="e">
        <f>'Расчет тарифов'!#REF!</f>
        <v>#REF!</v>
      </c>
      <c r="H30" s="1434"/>
      <c r="I30" s="1435" t="e">
        <f>'Расчет тарифов'!#REF!</f>
        <v>#REF!</v>
      </c>
      <c r="J30" s="1434"/>
    </row>
    <row r="31" spans="1:10" ht="41.25" customHeight="1">
      <c r="A31" s="725">
        <v>3</v>
      </c>
      <c r="B31" s="1431" t="s">
        <v>246</v>
      </c>
      <c r="C31" s="1443"/>
      <c r="D31" s="728" t="s">
        <v>46</v>
      </c>
      <c r="E31" s="729" t="e">
        <f>'Расчет тарифов'!P165</f>
        <v>#REF!</v>
      </c>
      <c r="F31" s="730" t="e">
        <f>'Расчет тарифов'!R165</f>
        <v>#REF!</v>
      </c>
      <c r="G31" s="731" t="e">
        <f>'Расчет тарифов'!#REF!</f>
        <v>#REF!</v>
      </c>
      <c r="H31" s="730" t="e">
        <f>'Расчет тарифов'!#REF!</f>
        <v>#REF!</v>
      </c>
      <c r="I31" s="731">
        <f>'Расчет тарифов'!M165</f>
        <v>3340.4497127199998</v>
      </c>
      <c r="J31" s="730">
        <f>'Расчет тарифов'!N165</f>
        <v>105.3114592027649</v>
      </c>
    </row>
    <row r="32" spans="1:10" ht="15.75">
      <c r="A32" s="732">
        <v>4</v>
      </c>
      <c r="B32" s="1431" t="s">
        <v>247</v>
      </c>
      <c r="C32" s="1443"/>
      <c r="D32" s="733"/>
      <c r="E32" s="1444" t="s">
        <v>248</v>
      </c>
      <c r="F32" s="1445"/>
      <c r="G32" s="1446" t="s">
        <v>249</v>
      </c>
      <c r="H32" s="1445"/>
      <c r="I32" s="1446" t="s">
        <v>297</v>
      </c>
      <c r="J32" s="1445"/>
    </row>
    <row r="33" spans="1:10" ht="39" customHeight="1">
      <c r="A33" s="725">
        <v>5</v>
      </c>
      <c r="B33" s="1431" t="s">
        <v>250</v>
      </c>
      <c r="C33" s="1443"/>
      <c r="D33" s="733"/>
      <c r="E33" s="1457"/>
      <c r="F33" s="1458"/>
      <c r="G33" s="1459"/>
      <c r="H33" s="1458"/>
      <c r="I33" s="1459"/>
      <c r="J33" s="1458"/>
    </row>
    <row r="34" spans="1:10" ht="21.75" customHeight="1">
      <c r="A34" s="725" t="s">
        <v>251</v>
      </c>
      <c r="B34" s="1431" t="s">
        <v>252</v>
      </c>
      <c r="C34" s="1443"/>
      <c r="D34" s="733"/>
      <c r="E34" s="1444"/>
      <c r="F34" s="1445"/>
      <c r="G34" s="1446"/>
      <c r="H34" s="1445"/>
      <c r="I34" s="1446"/>
      <c r="J34" s="1445"/>
    </row>
    <row r="35" spans="1:11" ht="81.75" customHeight="1">
      <c r="A35" s="725" t="s">
        <v>253</v>
      </c>
      <c r="B35" s="1431" t="s">
        <v>254</v>
      </c>
      <c r="C35" s="1443"/>
      <c r="D35" s="728" t="s">
        <v>23</v>
      </c>
      <c r="E35" s="1454">
        <f>IF(E37=0,0,E36/E37*100)</f>
        <v>0</v>
      </c>
      <c r="F35" s="1455"/>
      <c r="G35" s="1456">
        <f>IF(G37=0,0,G36/G37*100)</f>
        <v>0</v>
      </c>
      <c r="H35" s="1455"/>
      <c r="I35" s="1456">
        <f>IF(I37=0,0,I36/I37*100)</f>
        <v>0</v>
      </c>
      <c r="J35" s="1455"/>
      <c r="K35" s="734" t="s">
        <v>255</v>
      </c>
    </row>
    <row r="36" spans="1:10" ht="33.75" customHeight="1">
      <c r="A36" s="725"/>
      <c r="B36" s="1447" t="s">
        <v>256</v>
      </c>
      <c r="C36" s="1448"/>
      <c r="D36" s="728" t="s">
        <v>257</v>
      </c>
      <c r="E36" s="1451"/>
      <c r="F36" s="1452"/>
      <c r="G36" s="1453"/>
      <c r="H36" s="1452"/>
      <c r="I36" s="1453"/>
      <c r="J36" s="1452"/>
    </row>
    <row r="37" spans="1:10" ht="21.75" customHeight="1">
      <c r="A37" s="725"/>
      <c r="B37" s="1431" t="s">
        <v>258</v>
      </c>
      <c r="C37" s="1443"/>
      <c r="D37" s="728" t="s">
        <v>257</v>
      </c>
      <c r="E37" s="1451"/>
      <c r="F37" s="1452"/>
      <c r="G37" s="1453"/>
      <c r="H37" s="1452"/>
      <c r="I37" s="1453"/>
      <c r="J37" s="1452"/>
    </row>
    <row r="38" spans="1:11" ht="52.5" customHeight="1">
      <c r="A38" s="725" t="s">
        <v>259</v>
      </c>
      <c r="B38" s="1431" t="s">
        <v>260</v>
      </c>
      <c r="C38" s="1443"/>
      <c r="D38" s="728" t="s">
        <v>23</v>
      </c>
      <c r="E38" s="1454">
        <f>IF(E40=0,0,E39/E40*100)</f>
        <v>0</v>
      </c>
      <c r="F38" s="1455"/>
      <c r="G38" s="1456">
        <f>IF(G40=0,0,G39/G40*100)</f>
        <v>0</v>
      </c>
      <c r="H38" s="1455"/>
      <c r="I38" s="1456">
        <f>IF(I40=0,0,I39/I40*100)</f>
        <v>0</v>
      </c>
      <c r="J38" s="1455"/>
      <c r="K38" s="735" t="s">
        <v>261</v>
      </c>
    </row>
    <row r="39" spans="1:10" ht="54" customHeight="1">
      <c r="A39" s="725"/>
      <c r="B39" s="1447" t="s">
        <v>262</v>
      </c>
      <c r="C39" s="1448"/>
      <c r="D39" s="728" t="s">
        <v>257</v>
      </c>
      <c r="E39" s="1451"/>
      <c r="F39" s="1452"/>
      <c r="G39" s="1453"/>
      <c r="H39" s="1452"/>
      <c r="I39" s="1453"/>
      <c r="J39" s="1452"/>
    </row>
    <row r="40" spans="1:10" ht="15.75">
      <c r="A40" s="725"/>
      <c r="B40" s="1431" t="s">
        <v>258</v>
      </c>
      <c r="C40" s="1443"/>
      <c r="D40" s="728" t="s">
        <v>257</v>
      </c>
      <c r="E40" s="1451"/>
      <c r="F40" s="1452"/>
      <c r="G40" s="1453"/>
      <c r="H40" s="1452"/>
      <c r="I40" s="1453"/>
      <c r="J40" s="1452"/>
    </row>
    <row r="41" spans="1:10" ht="21.75" customHeight="1">
      <c r="A41" s="725" t="s">
        <v>263</v>
      </c>
      <c r="B41" s="1431" t="s">
        <v>264</v>
      </c>
      <c r="C41" s="1443"/>
      <c r="D41" s="733"/>
      <c r="E41" s="1444"/>
      <c r="F41" s="1445"/>
      <c r="G41" s="1446"/>
      <c r="H41" s="1445"/>
      <c r="I41" s="1446"/>
      <c r="J41" s="1445"/>
    </row>
    <row r="42" spans="1:11" ht="137.25" customHeight="1">
      <c r="A42" s="725" t="s">
        <v>169</v>
      </c>
      <c r="B42" s="1431" t="s">
        <v>265</v>
      </c>
      <c r="C42" s="1443"/>
      <c r="D42" s="728" t="s">
        <v>266</v>
      </c>
      <c r="E42" s="1433">
        <f>IF(E43=0,0,E43/E44)</f>
        <v>0</v>
      </c>
      <c r="F42" s="1434"/>
      <c r="G42" s="1435">
        <f>IF(G43=0,0,G43/G44)</f>
        <v>0</v>
      </c>
      <c r="H42" s="1434"/>
      <c r="I42" s="1435">
        <f>IF(I43=0,0,I43/I44)</f>
        <v>0</v>
      </c>
      <c r="J42" s="1434"/>
      <c r="K42" s="734" t="s">
        <v>267</v>
      </c>
    </row>
    <row r="43" spans="1:10" ht="144" customHeight="1">
      <c r="A43" s="725"/>
      <c r="B43" s="1447" t="s">
        <v>268</v>
      </c>
      <c r="C43" s="1448"/>
      <c r="D43" s="728" t="s">
        <v>257</v>
      </c>
      <c r="E43" s="1451"/>
      <c r="F43" s="1452"/>
      <c r="G43" s="1453"/>
      <c r="H43" s="1452"/>
      <c r="I43" s="1453"/>
      <c r="J43" s="1452"/>
    </row>
    <row r="44" spans="1:10" ht="18.75" customHeight="1">
      <c r="A44" s="725"/>
      <c r="B44" s="1431" t="s">
        <v>269</v>
      </c>
      <c r="C44" s="1443"/>
      <c r="D44" s="728" t="s">
        <v>270</v>
      </c>
      <c r="E44" s="1083">
        <v>7.7</v>
      </c>
      <c r="F44" s="901">
        <f>E44</f>
        <v>7.7</v>
      </c>
      <c r="G44" s="1083">
        <v>7.7</v>
      </c>
      <c r="H44" s="901">
        <f>G44</f>
        <v>7.7</v>
      </c>
      <c r="I44" s="1083">
        <v>7.7</v>
      </c>
      <c r="J44" s="901">
        <f>I44</f>
        <v>7.7</v>
      </c>
    </row>
    <row r="45" spans="1:10" ht="21.75" customHeight="1">
      <c r="A45" s="725" t="s">
        <v>271</v>
      </c>
      <c r="B45" s="1431" t="s">
        <v>272</v>
      </c>
      <c r="C45" s="1443"/>
      <c r="D45" s="733"/>
      <c r="E45" s="1444"/>
      <c r="F45" s="1445"/>
      <c r="G45" s="1446"/>
      <c r="H45" s="1445"/>
      <c r="I45" s="1446"/>
      <c r="J45" s="1445"/>
    </row>
    <row r="46" spans="1:11" ht="36" customHeight="1">
      <c r="A46" s="725" t="s">
        <v>273</v>
      </c>
      <c r="B46" s="1431" t="s">
        <v>274</v>
      </c>
      <c r="C46" s="1443"/>
      <c r="D46" s="728" t="s">
        <v>23</v>
      </c>
      <c r="E46" s="1433">
        <f>E47/E48*100</f>
        <v>2.608695652173913</v>
      </c>
      <c r="F46" s="1434"/>
      <c r="G46" s="1435" t="e">
        <f>G47/G48*100</f>
        <v>#REF!</v>
      </c>
      <c r="H46" s="1434"/>
      <c r="I46" s="1435" t="e">
        <f>I47/I48*100</f>
        <v>#REF!</v>
      </c>
      <c r="J46" s="1434"/>
      <c r="K46" s="734" t="s">
        <v>275</v>
      </c>
    </row>
    <row r="47" spans="1:10" ht="34.5" customHeight="1">
      <c r="A47" s="725"/>
      <c r="B47" s="1447" t="s">
        <v>276</v>
      </c>
      <c r="C47" s="1448"/>
      <c r="D47" s="728" t="s">
        <v>277</v>
      </c>
      <c r="E47" s="1433">
        <f>'Расчет тарифов'!O24</f>
        <v>3</v>
      </c>
      <c r="F47" s="1434"/>
      <c r="G47" s="1435" t="e">
        <f>'Расчет тарифов'!#REF!</f>
        <v>#REF!</v>
      </c>
      <c r="H47" s="1434"/>
      <c r="I47" s="1435" t="e">
        <f>'Расчет тарифов'!#REF!</f>
        <v>#REF!</v>
      </c>
      <c r="J47" s="1434"/>
    </row>
    <row r="48" spans="1:10" ht="24" customHeight="1">
      <c r="A48" s="725"/>
      <c r="B48" s="1447" t="s">
        <v>278</v>
      </c>
      <c r="C48" s="1448"/>
      <c r="D48" s="728" t="s">
        <v>708</v>
      </c>
      <c r="E48" s="1433">
        <f>'Расчет тарифов'!O23</f>
        <v>115</v>
      </c>
      <c r="F48" s="1434"/>
      <c r="G48" s="1435" t="e">
        <f>'Расчет тарифов'!#REF!</f>
        <v>#REF!</v>
      </c>
      <c r="H48" s="1434"/>
      <c r="I48" s="1435" t="e">
        <f>'Расчет тарифов'!#REF!</f>
        <v>#REF!</v>
      </c>
      <c r="J48" s="1434"/>
    </row>
    <row r="49" spans="1:11" s="736" customFormat="1" ht="47.25" customHeight="1">
      <c r="A49" s="732" t="s">
        <v>279</v>
      </c>
      <c r="B49" s="1431" t="s">
        <v>852</v>
      </c>
      <c r="C49" s="1432"/>
      <c r="D49" s="728" t="s">
        <v>304</v>
      </c>
      <c r="E49" s="1433">
        <f>E50/E51</f>
        <v>0</v>
      </c>
      <c r="F49" s="1434"/>
      <c r="G49" s="1433" t="e">
        <f>G50/G51</f>
        <v>#REF!</v>
      </c>
      <c r="H49" s="1434"/>
      <c r="I49" s="1433" t="e">
        <f>I50/I51</f>
        <v>#REF!</v>
      </c>
      <c r="J49" s="1434"/>
      <c r="K49" s="735" t="s">
        <v>855</v>
      </c>
    </row>
    <row r="50" spans="1:11" s="736" customFormat="1" ht="31.5" customHeight="1">
      <c r="A50" s="732"/>
      <c r="B50" s="1431" t="s">
        <v>858</v>
      </c>
      <c r="C50" s="1432"/>
      <c r="D50" s="728" t="s">
        <v>52</v>
      </c>
      <c r="E50" s="1439"/>
      <c r="F50" s="1440"/>
      <c r="G50" s="1439"/>
      <c r="H50" s="1440"/>
      <c r="I50" s="1439"/>
      <c r="J50" s="1440"/>
      <c r="K50" s="735"/>
    </row>
    <row r="51" spans="1:11" s="736" customFormat="1" ht="24.75" customHeight="1">
      <c r="A51" s="732"/>
      <c r="B51" s="1421" t="s">
        <v>859</v>
      </c>
      <c r="C51" s="1448"/>
      <c r="D51" s="728" t="s">
        <v>708</v>
      </c>
      <c r="E51" s="1435">
        <f>'Расчет тарифов'!O18</f>
        <v>117</v>
      </c>
      <c r="F51" s="1436"/>
      <c r="G51" s="1435" t="e">
        <f>'Расчет тарифов'!#REF!</f>
        <v>#REF!</v>
      </c>
      <c r="H51" s="1436"/>
      <c r="I51" s="1435" t="e">
        <f>'Расчет тарифов'!#REF!</f>
        <v>#REF!</v>
      </c>
      <c r="J51" s="1436"/>
      <c r="K51" s="735"/>
    </row>
    <row r="52" spans="1:11" s="736" customFormat="1" ht="47.25" customHeight="1">
      <c r="A52" s="732" t="s">
        <v>851</v>
      </c>
      <c r="B52" s="1449" t="s">
        <v>853</v>
      </c>
      <c r="C52" s="1450"/>
      <c r="D52" s="944" t="s">
        <v>304</v>
      </c>
      <c r="E52" s="1435">
        <f>E53/E54</f>
        <v>0</v>
      </c>
      <c r="F52" s="1436"/>
      <c r="G52" s="1435" t="e">
        <f>G53/G54</f>
        <v>#REF!</v>
      </c>
      <c r="H52" s="1436"/>
      <c r="I52" s="1435" t="e">
        <f>I53/I54</f>
        <v>#REF!</v>
      </c>
      <c r="J52" s="1436"/>
      <c r="K52" s="735" t="s">
        <v>856</v>
      </c>
    </row>
    <row r="53" spans="1:11" s="736" customFormat="1" ht="34.5" customHeight="1">
      <c r="A53" s="732"/>
      <c r="B53" s="1431" t="s">
        <v>857</v>
      </c>
      <c r="C53" s="1432"/>
      <c r="D53" s="728" t="s">
        <v>52</v>
      </c>
      <c r="E53" s="1441"/>
      <c r="F53" s="1442"/>
      <c r="G53" s="1441"/>
      <c r="H53" s="1442"/>
      <c r="I53" s="1441"/>
      <c r="J53" s="1442"/>
      <c r="K53" s="737"/>
    </row>
    <row r="54" spans="1:11" s="736" customFormat="1" ht="24" customHeight="1" thickBot="1">
      <c r="A54" s="738"/>
      <c r="B54" s="1406" t="s">
        <v>854</v>
      </c>
      <c r="C54" s="1407"/>
      <c r="D54" s="739" t="s">
        <v>708</v>
      </c>
      <c r="E54" s="1408">
        <f>'Расчет тарифов'!O23</f>
        <v>115</v>
      </c>
      <c r="F54" s="1409"/>
      <c r="G54" s="1408" t="e">
        <f>'Расчет тарифов'!#REF!</f>
        <v>#REF!</v>
      </c>
      <c r="H54" s="1409"/>
      <c r="I54" s="1408" t="e">
        <f>'Расчет тарифов'!#REF!</f>
        <v>#REF!</v>
      </c>
      <c r="J54" s="1409"/>
      <c r="K54" s="737"/>
    </row>
    <row r="55" spans="1:11" s="736" customFormat="1" ht="24" customHeight="1">
      <c r="A55" s="740"/>
      <c r="B55" s="741"/>
      <c r="C55" s="741"/>
      <c r="D55" s="742"/>
      <c r="E55" s="743"/>
      <c r="F55" s="744"/>
      <c r="G55" s="744"/>
      <c r="H55" s="744"/>
      <c r="I55" s="744"/>
      <c r="J55" s="744"/>
      <c r="K55" s="737"/>
    </row>
    <row r="56" spans="1:10" ht="72" customHeight="1" thickBot="1">
      <c r="A56" s="1413" t="s">
        <v>721</v>
      </c>
      <c r="B56" s="1425"/>
      <c r="C56" s="1425"/>
      <c r="D56" s="1425"/>
      <c r="E56" s="1425"/>
      <c r="F56" s="1425"/>
      <c r="G56" s="1425"/>
      <c r="H56" s="1425"/>
      <c r="I56" s="1425"/>
      <c r="J56" s="1426"/>
    </row>
    <row r="57" spans="1:10" ht="67.5" customHeight="1" thickBot="1">
      <c r="A57" s="745" t="s">
        <v>238</v>
      </c>
      <c r="B57" s="1427" t="s">
        <v>239</v>
      </c>
      <c r="C57" s="1428"/>
      <c r="D57" s="746" t="s">
        <v>221</v>
      </c>
      <c r="E57" s="746" t="s">
        <v>298</v>
      </c>
      <c r="F57" s="746" t="s">
        <v>299</v>
      </c>
      <c r="G57" s="1427" t="s">
        <v>300</v>
      </c>
      <c r="H57" s="1397"/>
      <c r="I57" s="1427" t="s">
        <v>301</v>
      </c>
      <c r="J57" s="1397"/>
    </row>
    <row r="58" spans="1:10" ht="23.25" customHeight="1">
      <c r="A58" s="720" t="s">
        <v>280</v>
      </c>
      <c r="B58" s="1429" t="s">
        <v>252</v>
      </c>
      <c r="C58" s="1430"/>
      <c r="D58" s="747"/>
      <c r="E58" s="747"/>
      <c r="F58" s="748"/>
      <c r="G58" s="1437"/>
      <c r="H58" s="1438"/>
      <c r="I58" s="1437"/>
      <c r="J58" s="1438"/>
    </row>
    <row r="59" spans="1:11" ht="23.25" customHeight="1">
      <c r="A59" s="725" t="s">
        <v>14</v>
      </c>
      <c r="B59" s="1404" t="s">
        <v>281</v>
      </c>
      <c r="C59" s="1405"/>
      <c r="D59" s="728" t="s">
        <v>23</v>
      </c>
      <c r="E59" s="261"/>
      <c r="F59" s="749">
        <f>E35</f>
        <v>0</v>
      </c>
      <c r="G59" s="1419"/>
      <c r="H59" s="1420"/>
      <c r="I59" s="1419"/>
      <c r="J59" s="1420"/>
      <c r="K59" s="734" t="s">
        <v>990</v>
      </c>
    </row>
    <row r="60" spans="1:10" ht="21.75" customHeight="1">
      <c r="A60" s="725"/>
      <c r="B60" s="1421" t="s">
        <v>282</v>
      </c>
      <c r="C60" s="1422"/>
      <c r="D60" s="728" t="s">
        <v>23</v>
      </c>
      <c r="E60" s="750" t="s">
        <v>283</v>
      </c>
      <c r="F60" s="749">
        <f>IF(E59=0,0,(F59/E59*100)-100)</f>
        <v>0</v>
      </c>
      <c r="G60" s="1423">
        <f>IF(F59=0,0,(G59/F59*100)-100)</f>
        <v>0</v>
      </c>
      <c r="H60" s="1424">
        <f>IF(G59=0,0,(H59/G59*100)-100)</f>
        <v>0</v>
      </c>
      <c r="I60" s="1423">
        <f>IF(H59=0,0,(I59/H59*100)-100)</f>
        <v>0</v>
      </c>
      <c r="J60" s="1424">
        <f>IF(I59=0,0,(J59/I59*100)-100)</f>
        <v>0</v>
      </c>
    </row>
    <row r="61" spans="1:11" ht="23.25" customHeight="1">
      <c r="A61" s="725" t="s">
        <v>17</v>
      </c>
      <c r="B61" s="1404" t="s">
        <v>284</v>
      </c>
      <c r="C61" s="1405"/>
      <c r="D61" s="728" t="s">
        <v>23</v>
      </c>
      <c r="E61" s="261"/>
      <c r="F61" s="749">
        <f>E38</f>
        <v>0</v>
      </c>
      <c r="G61" s="1419"/>
      <c r="H61" s="1420"/>
      <c r="I61" s="1419"/>
      <c r="J61" s="1420"/>
      <c r="K61" s="735" t="s">
        <v>991</v>
      </c>
    </row>
    <row r="62" spans="1:10" ht="21.75" customHeight="1">
      <c r="A62" s="725"/>
      <c r="B62" s="1421" t="s">
        <v>282</v>
      </c>
      <c r="C62" s="1422"/>
      <c r="D62" s="728" t="s">
        <v>23</v>
      </c>
      <c r="E62" s="750" t="s">
        <v>283</v>
      </c>
      <c r="F62" s="749">
        <f>IF(E61=0,0,(F61/E61*100)-100)</f>
        <v>0</v>
      </c>
      <c r="G62" s="1423">
        <f>IF(F61=0,0,(G61/F61*100)-100)</f>
        <v>0</v>
      </c>
      <c r="H62" s="1424">
        <f>IF(G61=0,0,(H61/G61*100)-100)</f>
        <v>0</v>
      </c>
      <c r="I62" s="1423">
        <f>IF(H61=0,0,(I61/H61*100)-100)</f>
        <v>0</v>
      </c>
      <c r="J62" s="1424">
        <f>IF(I61=0,0,(J61/I61*100)-100)</f>
        <v>0</v>
      </c>
    </row>
    <row r="63" spans="1:10" ht="23.25" customHeight="1">
      <c r="A63" s="725" t="s">
        <v>285</v>
      </c>
      <c r="B63" s="1404" t="s">
        <v>264</v>
      </c>
      <c r="C63" s="1416"/>
      <c r="D63" s="733"/>
      <c r="E63" s="750"/>
      <c r="F63" s="751"/>
      <c r="G63" s="1417"/>
      <c r="H63" s="1418"/>
      <c r="I63" s="1417"/>
      <c r="J63" s="1418"/>
    </row>
    <row r="64" spans="1:11" ht="23.25" customHeight="1">
      <c r="A64" s="725" t="s">
        <v>45</v>
      </c>
      <c r="B64" s="1404" t="s">
        <v>286</v>
      </c>
      <c r="C64" s="1405"/>
      <c r="D64" s="728" t="s">
        <v>266</v>
      </c>
      <c r="E64" s="261"/>
      <c r="F64" s="749">
        <f>E42</f>
        <v>0</v>
      </c>
      <c r="G64" s="1419"/>
      <c r="H64" s="1420"/>
      <c r="I64" s="1419"/>
      <c r="J64" s="1420"/>
      <c r="K64" s="734" t="s">
        <v>992</v>
      </c>
    </row>
    <row r="65" spans="1:10" ht="21.75" customHeight="1">
      <c r="A65" s="725"/>
      <c r="B65" s="1421" t="s">
        <v>282</v>
      </c>
      <c r="C65" s="1422"/>
      <c r="D65" s="728" t="s">
        <v>23</v>
      </c>
      <c r="E65" s="750" t="s">
        <v>283</v>
      </c>
      <c r="F65" s="749">
        <f>IF(E64=0,0,(F64/E64*100)-100)</f>
        <v>0</v>
      </c>
      <c r="G65" s="1423">
        <f>IF(F64=0,0,(G64/F64*100)-100)</f>
        <v>0</v>
      </c>
      <c r="H65" s="1424">
        <f>IF(G64=0,0,(H64/G64*100)-100)</f>
        <v>0</v>
      </c>
      <c r="I65" s="1423">
        <f>IF(H64=0,0,(I64/H64*100)-100)</f>
        <v>0</v>
      </c>
      <c r="J65" s="1424">
        <f>IF(I64=0,0,(J64/I64*100)-100)</f>
        <v>0</v>
      </c>
    </row>
    <row r="66" spans="1:10" ht="23.25" customHeight="1">
      <c r="A66" s="725" t="s">
        <v>152</v>
      </c>
      <c r="B66" s="1404" t="s">
        <v>272</v>
      </c>
      <c r="C66" s="1416"/>
      <c r="D66" s="733"/>
      <c r="E66" s="750"/>
      <c r="F66" s="751"/>
      <c r="G66" s="1417"/>
      <c r="H66" s="1418"/>
      <c r="I66" s="1417"/>
      <c r="J66" s="1418"/>
    </row>
    <row r="67" spans="1:11" ht="39" customHeight="1">
      <c r="A67" s="725" t="s">
        <v>154</v>
      </c>
      <c r="B67" s="1404" t="s">
        <v>287</v>
      </c>
      <c r="C67" s="1405"/>
      <c r="D67" s="728" t="s">
        <v>303</v>
      </c>
      <c r="E67" s="261"/>
      <c r="F67" s="749">
        <f>E49</f>
        <v>0</v>
      </c>
      <c r="G67" s="1419"/>
      <c r="H67" s="1420"/>
      <c r="I67" s="1419"/>
      <c r="J67" s="1420"/>
      <c r="K67" s="735" t="s">
        <v>993</v>
      </c>
    </row>
    <row r="68" spans="1:10" ht="21.75" customHeight="1" thickBot="1">
      <c r="A68" s="752"/>
      <c r="B68" s="1402" t="s">
        <v>282</v>
      </c>
      <c r="C68" s="1403"/>
      <c r="D68" s="739" t="s">
        <v>23</v>
      </c>
      <c r="E68" s="753" t="s">
        <v>283</v>
      </c>
      <c r="F68" s="754">
        <f>IF(E67=0,0,(F67/E67*100)-100)</f>
        <v>0</v>
      </c>
      <c r="G68" s="1411">
        <f>IF(F67=0,0,(G67/F67*100)-100)</f>
        <v>0</v>
      </c>
      <c r="H68" s="1412">
        <f>IF(G67=0,0,(H67/G67*100)-100)</f>
        <v>0</v>
      </c>
      <c r="I68" s="1411">
        <f>IF(H67=0,0,(I67/H67*100)-100)</f>
        <v>0</v>
      </c>
      <c r="J68" s="1412">
        <f>IF(I67=0,0,(J67/I67*100)-100)</f>
        <v>0</v>
      </c>
    </row>
    <row r="69" spans="1:10" ht="21.75" customHeight="1">
      <c r="A69" s="755"/>
      <c r="B69" s="741"/>
      <c r="C69" s="756"/>
      <c r="D69" s="742"/>
      <c r="E69" s="757"/>
      <c r="F69" s="758"/>
      <c r="G69" s="758"/>
      <c r="H69" s="758"/>
      <c r="I69" s="758"/>
      <c r="J69" s="758"/>
    </row>
    <row r="70" spans="1:10" ht="24.75" customHeight="1" thickBot="1">
      <c r="A70" s="1413" t="s">
        <v>288</v>
      </c>
      <c r="B70" s="1414"/>
      <c r="C70" s="1414"/>
      <c r="D70" s="1414"/>
      <c r="E70" s="1414"/>
      <c r="F70" s="1415"/>
      <c r="G70" s="711"/>
      <c r="H70" s="711"/>
      <c r="I70" s="711"/>
      <c r="J70" s="711"/>
    </row>
    <row r="71" spans="1:10" ht="40.5" customHeight="1" thickBot="1">
      <c r="A71" s="745" t="s">
        <v>238</v>
      </c>
      <c r="B71" s="1396" t="s">
        <v>239</v>
      </c>
      <c r="C71" s="1410"/>
      <c r="D71" s="746" t="s">
        <v>221</v>
      </c>
      <c r="E71" s="1396" t="s">
        <v>302</v>
      </c>
      <c r="F71" s="1397"/>
      <c r="G71" s="1084"/>
      <c r="H71" s="1084"/>
      <c r="I71" s="1084"/>
      <c r="J71" s="1084"/>
    </row>
    <row r="72" spans="1:10" ht="23.25" customHeight="1" thickBot="1">
      <c r="A72" s="759" t="s">
        <v>280</v>
      </c>
      <c r="B72" s="1398" t="s">
        <v>289</v>
      </c>
      <c r="C72" s="1399"/>
      <c r="D72" s="760" t="s">
        <v>46</v>
      </c>
      <c r="E72" s="1400">
        <f>'Расчет тарифов'!H152</f>
        <v>2873.834074639472</v>
      </c>
      <c r="F72" s="1401"/>
      <c r="G72" s="761"/>
      <c r="H72" s="761"/>
      <c r="I72" s="761"/>
      <c r="J72" s="761"/>
    </row>
    <row r="74" spans="1:10" ht="24.75" customHeight="1">
      <c r="A74" s="1391" t="s">
        <v>290</v>
      </c>
      <c r="B74" s="1392"/>
      <c r="C74" s="1392"/>
      <c r="D74" s="1392"/>
      <c r="E74" s="1392"/>
      <c r="F74" s="1393"/>
      <c r="G74" s="1084"/>
      <c r="H74" s="1084"/>
      <c r="I74" s="1084"/>
      <c r="J74" s="1084"/>
    </row>
    <row r="75" spans="1:11" s="964" customFormat="1" ht="23.25" customHeight="1">
      <c r="A75" s="962" t="s">
        <v>280</v>
      </c>
      <c r="B75" s="1394" t="s">
        <v>291</v>
      </c>
      <c r="C75" s="1395"/>
      <c r="D75" s="1395"/>
      <c r="E75" s="1395"/>
      <c r="F75" s="1395"/>
      <c r="G75" s="963"/>
      <c r="H75" s="963"/>
      <c r="I75" s="963"/>
      <c r="J75" s="963"/>
      <c r="K75" s="702"/>
    </row>
    <row r="76" spans="1:11" s="964" customFormat="1" ht="23.25" customHeight="1">
      <c r="A76" s="962" t="s">
        <v>285</v>
      </c>
      <c r="B76" s="1394" t="s">
        <v>292</v>
      </c>
      <c r="C76" s="1395"/>
      <c r="D76" s="1395"/>
      <c r="E76" s="1395"/>
      <c r="F76" s="1395"/>
      <c r="G76" s="963"/>
      <c r="H76" s="963"/>
      <c r="I76" s="963"/>
      <c r="J76" s="963"/>
      <c r="K76" s="702"/>
    </row>
    <row r="79" spans="2:7" ht="15.75">
      <c r="B79" s="877" t="s">
        <v>654</v>
      </c>
      <c r="C79" s="877"/>
      <c r="D79" s="877" t="s">
        <v>729</v>
      </c>
      <c r="E79" s="877"/>
      <c r="F79" s="877"/>
      <c r="G79" s="877"/>
    </row>
    <row r="80" spans="2:7" ht="15.75">
      <c r="B80" s="878"/>
      <c r="C80" s="878"/>
      <c r="D80" s="1007" t="s">
        <v>728</v>
      </c>
      <c r="E80" s="1007" t="s">
        <v>873</v>
      </c>
      <c r="G80" s="878"/>
    </row>
    <row r="81" spans="2:7" ht="15.75">
      <c r="B81" s="878"/>
      <c r="C81" s="878"/>
      <c r="D81" s="878"/>
      <c r="E81" s="878"/>
      <c r="F81" s="878"/>
      <c r="G81" s="878"/>
    </row>
    <row r="82" spans="2:7" ht="15.75">
      <c r="B82" s="1387" t="s">
        <v>215</v>
      </c>
      <c r="C82" s="1387"/>
      <c r="D82" s="878"/>
      <c r="E82" s="878"/>
      <c r="F82" s="878"/>
      <c r="G82" s="878"/>
    </row>
    <row r="83" spans="2:7" ht="15.75">
      <c r="B83" s="879"/>
      <c r="C83" s="879"/>
      <c r="D83" s="880" t="s">
        <v>305</v>
      </c>
      <c r="E83" s="881"/>
      <c r="F83" s="881"/>
      <c r="G83" s="882"/>
    </row>
    <row r="84" spans="2:7" ht="15.75">
      <c r="B84" s="879"/>
      <c r="C84" s="879"/>
      <c r="D84" s="883" t="s">
        <v>1</v>
      </c>
      <c r="E84" s="877"/>
      <c r="F84" s="881"/>
      <c r="G84" s="882"/>
    </row>
    <row r="85" spans="2:7" ht="15.75">
      <c r="B85" s="1387" t="s">
        <v>216</v>
      </c>
      <c r="C85" s="1387"/>
      <c r="D85" s="1388" t="s">
        <v>217</v>
      </c>
      <c r="E85" s="1388"/>
      <c r="F85" s="1388"/>
      <c r="G85" s="1388"/>
    </row>
    <row r="86" spans="2:7" ht="15.75">
      <c r="B86" s="1389" t="s">
        <v>218</v>
      </c>
      <c r="C86" s="1389"/>
      <c r="D86" s="1388"/>
      <c r="E86" s="1388"/>
      <c r="F86" s="1388"/>
      <c r="G86" s="1388"/>
    </row>
    <row r="87" spans="2:7" ht="15.75">
      <c r="B87" s="878"/>
      <c r="C87" s="878"/>
      <c r="D87" s="1390" t="s">
        <v>989</v>
      </c>
      <c r="E87" s="1390"/>
      <c r="F87" s="1390"/>
      <c r="G87" s="1390"/>
    </row>
  </sheetData>
  <sheetProtection formatColumns="0"/>
  <mergeCells count="167">
    <mergeCell ref="A8:F8"/>
    <mergeCell ref="B9:F9"/>
    <mergeCell ref="A10:F10"/>
    <mergeCell ref="B11:F11"/>
    <mergeCell ref="A12:F12"/>
    <mergeCell ref="A14:J14"/>
    <mergeCell ref="A15:B15"/>
    <mergeCell ref="C15:J15"/>
    <mergeCell ref="A16:B16"/>
    <mergeCell ref="C16:J16"/>
    <mergeCell ref="A17:B17"/>
    <mergeCell ref="C17:J17"/>
    <mergeCell ref="A18:B18"/>
    <mergeCell ref="C18:J18"/>
    <mergeCell ref="A19:B19"/>
    <mergeCell ref="C19:J19"/>
    <mergeCell ref="A21:J21"/>
    <mergeCell ref="A22:A23"/>
    <mergeCell ref="B22:C23"/>
    <mergeCell ref="D22:D23"/>
    <mergeCell ref="E22:J22"/>
    <mergeCell ref="B24:C24"/>
    <mergeCell ref="B25:C25"/>
    <mergeCell ref="B30:C30"/>
    <mergeCell ref="E30:F30"/>
    <mergeCell ref="G30:H30"/>
    <mergeCell ref="I30:J30"/>
    <mergeCell ref="B31:C31"/>
    <mergeCell ref="B32:C32"/>
    <mergeCell ref="E32:F32"/>
    <mergeCell ref="G32:H32"/>
    <mergeCell ref="I32:J32"/>
    <mergeCell ref="B33:C33"/>
    <mergeCell ref="E33:F33"/>
    <mergeCell ref="G33:H33"/>
    <mergeCell ref="I33:J33"/>
    <mergeCell ref="B34:C34"/>
    <mergeCell ref="E34:F34"/>
    <mergeCell ref="G34:H34"/>
    <mergeCell ref="I34:J34"/>
    <mergeCell ref="B35:C35"/>
    <mergeCell ref="E35:F35"/>
    <mergeCell ref="G35:H35"/>
    <mergeCell ref="I35:J35"/>
    <mergeCell ref="B36:C36"/>
    <mergeCell ref="E36:F36"/>
    <mergeCell ref="G36:H36"/>
    <mergeCell ref="I36:J36"/>
    <mergeCell ref="B37:C37"/>
    <mergeCell ref="E37:F37"/>
    <mergeCell ref="G37:H37"/>
    <mergeCell ref="I37:J37"/>
    <mergeCell ref="B38:C38"/>
    <mergeCell ref="E38:F38"/>
    <mergeCell ref="G38:H38"/>
    <mergeCell ref="I38:J38"/>
    <mergeCell ref="B39:C39"/>
    <mergeCell ref="E39:F39"/>
    <mergeCell ref="G39:H39"/>
    <mergeCell ref="I39:J39"/>
    <mergeCell ref="B40:C40"/>
    <mergeCell ref="E40:F40"/>
    <mergeCell ref="G40:H40"/>
    <mergeCell ref="I40:J40"/>
    <mergeCell ref="B41:C41"/>
    <mergeCell ref="E41:F41"/>
    <mergeCell ref="G41:H41"/>
    <mergeCell ref="I41:J41"/>
    <mergeCell ref="B42:C42"/>
    <mergeCell ref="E42:F42"/>
    <mergeCell ref="G42:H42"/>
    <mergeCell ref="I42:J42"/>
    <mergeCell ref="B43:C43"/>
    <mergeCell ref="E43:F43"/>
    <mergeCell ref="G43:H43"/>
    <mergeCell ref="I43:J43"/>
    <mergeCell ref="B44:C44"/>
    <mergeCell ref="B45:C45"/>
    <mergeCell ref="E45:F45"/>
    <mergeCell ref="G45:H45"/>
    <mergeCell ref="I45:J45"/>
    <mergeCell ref="B46:C46"/>
    <mergeCell ref="E46:F46"/>
    <mergeCell ref="G46:H46"/>
    <mergeCell ref="I46:J46"/>
    <mergeCell ref="B47:C47"/>
    <mergeCell ref="E47:F47"/>
    <mergeCell ref="G47:H47"/>
    <mergeCell ref="I47:J47"/>
    <mergeCell ref="B48:C48"/>
    <mergeCell ref="E48:F48"/>
    <mergeCell ref="G48:H48"/>
    <mergeCell ref="I48:J48"/>
    <mergeCell ref="B49:C49"/>
    <mergeCell ref="E49:F49"/>
    <mergeCell ref="G49:H49"/>
    <mergeCell ref="I49:J49"/>
    <mergeCell ref="B50:C50"/>
    <mergeCell ref="E50:F50"/>
    <mergeCell ref="G50:H50"/>
    <mergeCell ref="I50:J50"/>
    <mergeCell ref="B51:C51"/>
    <mergeCell ref="E51:F51"/>
    <mergeCell ref="G51:H51"/>
    <mergeCell ref="I51:J51"/>
    <mergeCell ref="B52:C52"/>
    <mergeCell ref="E52:F52"/>
    <mergeCell ref="G52:H52"/>
    <mergeCell ref="I52:J52"/>
    <mergeCell ref="B53:C53"/>
    <mergeCell ref="E53:F53"/>
    <mergeCell ref="G53:H53"/>
    <mergeCell ref="I53:J53"/>
    <mergeCell ref="B54:C54"/>
    <mergeCell ref="E54:F54"/>
    <mergeCell ref="G54:H54"/>
    <mergeCell ref="I54:J54"/>
    <mergeCell ref="A56:J56"/>
    <mergeCell ref="B57:C57"/>
    <mergeCell ref="G57:H57"/>
    <mergeCell ref="I57:J57"/>
    <mergeCell ref="B58:C58"/>
    <mergeCell ref="G58:H58"/>
    <mergeCell ref="I58:J58"/>
    <mergeCell ref="B59:C59"/>
    <mergeCell ref="G59:H59"/>
    <mergeCell ref="I59:J59"/>
    <mergeCell ref="B60:C60"/>
    <mergeCell ref="G60:H60"/>
    <mergeCell ref="I60:J60"/>
    <mergeCell ref="B61:C61"/>
    <mergeCell ref="G61:H61"/>
    <mergeCell ref="I61:J61"/>
    <mergeCell ref="B62:C62"/>
    <mergeCell ref="G62:H62"/>
    <mergeCell ref="I62:J62"/>
    <mergeCell ref="B63:C63"/>
    <mergeCell ref="G63:H63"/>
    <mergeCell ref="I63:J63"/>
    <mergeCell ref="B64:C64"/>
    <mergeCell ref="G64:H64"/>
    <mergeCell ref="I64:J64"/>
    <mergeCell ref="B65:C65"/>
    <mergeCell ref="G65:H65"/>
    <mergeCell ref="I65:J65"/>
    <mergeCell ref="B66:C66"/>
    <mergeCell ref="G66:H66"/>
    <mergeCell ref="I66:J66"/>
    <mergeCell ref="B67:C67"/>
    <mergeCell ref="G67:H67"/>
    <mergeCell ref="I67:J67"/>
    <mergeCell ref="B68:C68"/>
    <mergeCell ref="G68:H68"/>
    <mergeCell ref="I68:J68"/>
    <mergeCell ref="A70:F70"/>
    <mergeCell ref="B71:C71"/>
    <mergeCell ref="E71:F71"/>
    <mergeCell ref="B72:C72"/>
    <mergeCell ref="E72:F72"/>
    <mergeCell ref="A74:F74"/>
    <mergeCell ref="D87:G87"/>
    <mergeCell ref="B75:F75"/>
    <mergeCell ref="B76:F76"/>
    <mergeCell ref="B82:C82"/>
    <mergeCell ref="B85:C85"/>
    <mergeCell ref="D85:G86"/>
    <mergeCell ref="B86:C86"/>
  </mergeCells>
  <printOptions/>
  <pageMargins left="0.1968503937007874" right="0.15748031496062992" top="0.1968503937007874" bottom="0.1968503937007874" header="0.5118110236220472" footer="0.5118110236220472"/>
  <pageSetup fitToHeight="2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B2:J98"/>
  <sheetViews>
    <sheetView showGridLines="0" view="pageBreakPreview" zoomScaleSheetLayoutView="100" zoomScalePageLayoutView="0" workbookViewId="0" topLeftCell="A1">
      <pane ySplit="8" topLeftCell="A77" activePane="bottomLeft" state="frozen"/>
      <selection pane="topLeft" activeCell="A1" sqref="A1"/>
      <selection pane="bottomLeft" activeCell="F90" sqref="F90"/>
    </sheetView>
  </sheetViews>
  <sheetFormatPr defaultColWidth="9.140625" defaultRowHeight="15"/>
  <cols>
    <col min="1" max="1" width="3.421875" style="513" customWidth="1"/>
    <col min="2" max="2" width="9.140625" style="512" customWidth="1"/>
    <col min="3" max="3" width="43.00390625" style="513" customWidth="1"/>
    <col min="4" max="4" width="12.57421875" style="513" customWidth="1"/>
    <col min="5" max="8" width="14.57421875" style="513" customWidth="1"/>
    <col min="9" max="10" width="14.57421875" style="513" hidden="1" customWidth="1"/>
    <col min="11" max="16384" width="9.140625" style="513" customWidth="1"/>
  </cols>
  <sheetData>
    <row r="1" ht="7.5" customHeight="1"/>
    <row r="2" spans="2:9" s="514" customFormat="1" ht="20.25" customHeight="1">
      <c r="B2" s="1501" t="s">
        <v>560</v>
      </c>
      <c r="C2" s="1501"/>
      <c r="D2" s="1501"/>
      <c r="E2" s="1501"/>
      <c r="F2" s="1501"/>
      <c r="G2" s="1501"/>
      <c r="H2" s="1501"/>
      <c r="I2" s="1501"/>
    </row>
    <row r="3" spans="2:9" s="515" customFormat="1" ht="19.5" customHeight="1">
      <c r="B3" s="1502" t="str">
        <f>Титульный!$B$10</f>
        <v>ООО "Дирекция Голицыно-3"</v>
      </c>
      <c r="C3" s="1502"/>
      <c r="D3" s="1502"/>
      <c r="E3" s="1502"/>
      <c r="F3" s="1502"/>
      <c r="G3" s="1502"/>
      <c r="H3" s="1502"/>
      <c r="I3" s="1502"/>
    </row>
    <row r="4" spans="2:9" s="515" customFormat="1" ht="18.75" customHeight="1">
      <c r="B4" s="1502" t="str">
        <f>IF(Титульный!B11=0,Титульный!B12,IF(Титульный!$B$12=0,Титульный!$B$11,CONCATENATE(Титульный!$B$11,", ",Титульный!$B$12)))</f>
        <v>Наро-Фоминский м.р.</v>
      </c>
      <c r="C4" s="1502"/>
      <c r="D4" s="1502"/>
      <c r="E4" s="1502"/>
      <c r="F4" s="1502"/>
      <c r="G4" s="1502"/>
      <c r="H4" s="1502"/>
      <c r="I4" s="1502"/>
    </row>
    <row r="5" ht="15.75" thickBot="1"/>
    <row r="6" spans="2:10" s="514" customFormat="1" ht="35.25" customHeight="1">
      <c r="B6" s="1503" t="s">
        <v>238</v>
      </c>
      <c r="C6" s="1505" t="s">
        <v>555</v>
      </c>
      <c r="D6" s="1507" t="s">
        <v>221</v>
      </c>
      <c r="E6" s="1509" t="s">
        <v>561</v>
      </c>
      <c r="F6" s="1509"/>
      <c r="G6" s="516" t="s">
        <v>562</v>
      </c>
      <c r="H6" s="516" t="s">
        <v>563</v>
      </c>
      <c r="I6" s="516" t="s">
        <v>563</v>
      </c>
      <c r="J6" s="517" t="s">
        <v>564</v>
      </c>
    </row>
    <row r="7" spans="2:10" ht="15">
      <c r="B7" s="1504"/>
      <c r="C7" s="1506"/>
      <c r="D7" s="1508"/>
      <c r="E7" s="518" t="s">
        <v>329</v>
      </c>
      <c r="F7" s="518" t="s">
        <v>6</v>
      </c>
      <c r="G7" s="518" t="s">
        <v>329</v>
      </c>
      <c r="H7" s="518" t="s">
        <v>329</v>
      </c>
      <c r="I7" s="518" t="s">
        <v>329</v>
      </c>
      <c r="J7" s="519" t="s">
        <v>329</v>
      </c>
    </row>
    <row r="8" spans="2:10" ht="15.75" thickBot="1">
      <c r="B8" s="520">
        <v>1</v>
      </c>
      <c r="C8" s="521">
        <v>2</v>
      </c>
      <c r="D8" s="522">
        <v>3</v>
      </c>
      <c r="E8" s="523">
        <v>6</v>
      </c>
      <c r="F8" s="523">
        <v>7</v>
      </c>
      <c r="G8" s="524">
        <v>8</v>
      </c>
      <c r="H8" s="524">
        <v>9</v>
      </c>
      <c r="I8" s="524">
        <v>10</v>
      </c>
      <c r="J8" s="525">
        <v>11</v>
      </c>
    </row>
    <row r="9" spans="2:10" ht="14.25" customHeight="1">
      <c r="B9" s="526">
        <v>1</v>
      </c>
      <c r="C9" s="527" t="s">
        <v>807</v>
      </c>
      <c r="D9" s="528"/>
      <c r="E9" s="529"/>
      <c r="F9" s="529"/>
      <c r="G9" s="529"/>
      <c r="H9" s="529"/>
      <c r="I9" s="529"/>
      <c r="J9" s="530"/>
    </row>
    <row r="10" spans="2:10" ht="14.25" customHeight="1">
      <c r="B10" s="531" t="s">
        <v>14</v>
      </c>
      <c r="C10" s="532" t="s">
        <v>565</v>
      </c>
      <c r="D10" s="533" t="s">
        <v>722</v>
      </c>
      <c r="E10" s="534">
        <f aca="true" t="shared" si="0" ref="E10:J10">E11+E12+E13</f>
        <v>125</v>
      </c>
      <c r="F10" s="534">
        <f t="shared" si="0"/>
        <v>90.7</v>
      </c>
      <c r="G10" s="534">
        <f t="shared" si="0"/>
        <v>117</v>
      </c>
      <c r="H10" s="534">
        <f t="shared" si="0"/>
        <v>117</v>
      </c>
      <c r="I10" s="534">
        <f t="shared" si="0"/>
        <v>117</v>
      </c>
      <c r="J10" s="535">
        <f t="shared" si="0"/>
        <v>117</v>
      </c>
    </row>
    <row r="11" spans="2:10" ht="14.25" customHeight="1">
      <c r="B11" s="531" t="s">
        <v>566</v>
      </c>
      <c r="C11" s="532" t="s">
        <v>567</v>
      </c>
      <c r="D11" s="533" t="s">
        <v>722</v>
      </c>
      <c r="E11" s="545"/>
      <c r="F11" s="545"/>
      <c r="G11" s="545"/>
      <c r="H11" s="545"/>
      <c r="I11" s="536">
        <f aca="true" t="shared" si="1" ref="I11:J20">H11</f>
        <v>0</v>
      </c>
      <c r="J11" s="537">
        <f t="shared" si="1"/>
        <v>0</v>
      </c>
    </row>
    <row r="12" spans="2:10" ht="14.25" customHeight="1">
      <c r="B12" s="531" t="s">
        <v>568</v>
      </c>
      <c r="C12" s="532" t="s">
        <v>569</v>
      </c>
      <c r="D12" s="533" t="s">
        <v>722</v>
      </c>
      <c r="E12" s="545">
        <v>125</v>
      </c>
      <c r="F12" s="545">
        <v>90.7</v>
      </c>
      <c r="G12" s="545">
        <v>117</v>
      </c>
      <c r="H12" s="545">
        <v>117</v>
      </c>
      <c r="I12" s="536">
        <f t="shared" si="1"/>
        <v>117</v>
      </c>
      <c r="J12" s="537">
        <f t="shared" si="1"/>
        <v>117</v>
      </c>
    </row>
    <row r="13" spans="2:10" ht="27.75" customHeight="1">
      <c r="B13" s="531" t="s">
        <v>570</v>
      </c>
      <c r="C13" s="532" t="s">
        <v>571</v>
      </c>
      <c r="D13" s="533" t="s">
        <v>722</v>
      </c>
      <c r="E13" s="545"/>
      <c r="F13" s="545"/>
      <c r="G13" s="545"/>
      <c r="H13" s="545"/>
      <c r="I13" s="536">
        <f t="shared" si="1"/>
        <v>0</v>
      </c>
      <c r="J13" s="537">
        <f t="shared" si="1"/>
        <v>0</v>
      </c>
    </row>
    <row r="14" spans="2:10" ht="14.25" customHeight="1">
      <c r="B14" s="531" t="s">
        <v>17</v>
      </c>
      <c r="C14" s="532" t="s">
        <v>572</v>
      </c>
      <c r="D14" s="533" t="s">
        <v>722</v>
      </c>
      <c r="E14" s="536">
        <f>'Расчет тарифов'!G22</f>
        <v>117</v>
      </c>
      <c r="F14" s="536">
        <f>'Расчет тарифов'!H22</f>
        <v>90.7</v>
      </c>
      <c r="G14" s="536">
        <f>'Расчет тарифов'!J22</f>
        <v>117</v>
      </c>
      <c r="H14" s="536">
        <f>'Расчет тарифов'!O22</f>
        <v>117</v>
      </c>
      <c r="I14" s="536">
        <f t="shared" si="1"/>
        <v>117</v>
      </c>
      <c r="J14" s="537">
        <f t="shared" si="1"/>
        <v>117</v>
      </c>
    </row>
    <row r="15" spans="2:10" ht="14.25" customHeight="1">
      <c r="B15" s="531" t="s">
        <v>19</v>
      </c>
      <c r="C15" s="532" t="s">
        <v>573</v>
      </c>
      <c r="D15" s="533" t="s">
        <v>722</v>
      </c>
      <c r="E15" s="545"/>
      <c r="F15" s="545"/>
      <c r="G15" s="545"/>
      <c r="H15" s="545"/>
      <c r="I15" s="536">
        <f t="shared" si="1"/>
        <v>0</v>
      </c>
      <c r="J15" s="537">
        <f t="shared" si="1"/>
        <v>0</v>
      </c>
    </row>
    <row r="16" spans="2:10" ht="14.25" customHeight="1">
      <c r="B16" s="531" t="s">
        <v>24</v>
      </c>
      <c r="C16" s="532" t="s">
        <v>574</v>
      </c>
      <c r="D16" s="533" t="s">
        <v>722</v>
      </c>
      <c r="E16" s="536">
        <f>E10</f>
        <v>125</v>
      </c>
      <c r="F16" s="538">
        <f>F10</f>
        <v>90.7</v>
      </c>
      <c r="G16" s="538">
        <f>G10</f>
        <v>117</v>
      </c>
      <c r="H16" s="538">
        <f>H10</f>
        <v>117</v>
      </c>
      <c r="I16" s="538">
        <f t="shared" si="1"/>
        <v>117</v>
      </c>
      <c r="J16" s="539">
        <f t="shared" si="1"/>
        <v>117</v>
      </c>
    </row>
    <row r="17" spans="2:10" ht="14.25" customHeight="1">
      <c r="B17" s="526">
        <v>2</v>
      </c>
      <c r="C17" s="527" t="s">
        <v>575</v>
      </c>
      <c r="D17" s="528"/>
      <c r="E17" s="540"/>
      <c r="F17" s="540"/>
      <c r="G17" s="540"/>
      <c r="H17" s="540"/>
      <c r="I17" s="538"/>
      <c r="J17" s="539"/>
    </row>
    <row r="18" spans="2:10" ht="14.25" customHeight="1">
      <c r="B18" s="531" t="s">
        <v>45</v>
      </c>
      <c r="C18" s="532" t="s">
        <v>576</v>
      </c>
      <c r="D18" s="533" t="s">
        <v>722</v>
      </c>
      <c r="E18" s="545"/>
      <c r="F18" s="545"/>
      <c r="G18" s="545"/>
      <c r="H18" s="545"/>
      <c r="I18" s="538">
        <f t="shared" si="1"/>
        <v>0</v>
      </c>
      <c r="J18" s="539">
        <f t="shared" si="1"/>
        <v>0</v>
      </c>
    </row>
    <row r="19" spans="2:10" ht="14.25" customHeight="1">
      <c r="B19" s="531" t="s">
        <v>47</v>
      </c>
      <c r="C19" s="532" t="s">
        <v>577</v>
      </c>
      <c r="D19" s="533" t="s">
        <v>722</v>
      </c>
      <c r="E19" s="545"/>
      <c r="F19" s="545"/>
      <c r="G19" s="545"/>
      <c r="H19" s="545"/>
      <c r="I19" s="538">
        <f t="shared" si="1"/>
        <v>0</v>
      </c>
      <c r="J19" s="539">
        <f t="shared" si="1"/>
        <v>0</v>
      </c>
    </row>
    <row r="20" spans="2:10" ht="14.25" customHeight="1">
      <c r="B20" s="531" t="s">
        <v>53</v>
      </c>
      <c r="C20" s="532" t="s">
        <v>578</v>
      </c>
      <c r="D20" s="533" t="s">
        <v>722</v>
      </c>
      <c r="E20" s="545"/>
      <c r="F20" s="545"/>
      <c r="G20" s="545"/>
      <c r="H20" s="545"/>
      <c r="I20" s="538">
        <f t="shared" si="1"/>
        <v>0</v>
      </c>
      <c r="J20" s="539">
        <f t="shared" si="1"/>
        <v>0</v>
      </c>
    </row>
    <row r="21" spans="2:10" ht="14.25" customHeight="1">
      <c r="B21" s="526">
        <v>3</v>
      </c>
      <c r="C21" s="527" t="s">
        <v>579</v>
      </c>
      <c r="D21" s="528"/>
      <c r="E21" s="540"/>
      <c r="F21" s="540"/>
      <c r="G21" s="540"/>
      <c r="H21" s="540"/>
      <c r="I21" s="538"/>
      <c r="J21" s="539"/>
    </row>
    <row r="22" spans="2:10" ht="14.25" customHeight="1">
      <c r="B22" s="531" t="s">
        <v>154</v>
      </c>
      <c r="C22" s="541" t="s">
        <v>580</v>
      </c>
      <c r="D22" s="533" t="s">
        <v>722</v>
      </c>
      <c r="E22" s="536">
        <f aca="true" t="shared" si="2" ref="E22:J22">E23+E24+E25</f>
        <v>125</v>
      </c>
      <c r="F22" s="536">
        <f t="shared" si="2"/>
        <v>90.7</v>
      </c>
      <c r="G22" s="536">
        <f t="shared" si="2"/>
        <v>117</v>
      </c>
      <c r="H22" s="536">
        <f t="shared" si="2"/>
        <v>117</v>
      </c>
      <c r="I22" s="536">
        <f t="shared" si="2"/>
        <v>117</v>
      </c>
      <c r="J22" s="537">
        <f t="shared" si="2"/>
        <v>117</v>
      </c>
    </row>
    <row r="23" spans="2:10" ht="14.25" customHeight="1">
      <c r="B23" s="531" t="s">
        <v>581</v>
      </c>
      <c r="C23" s="532" t="s">
        <v>582</v>
      </c>
      <c r="D23" s="533" t="s">
        <v>722</v>
      </c>
      <c r="E23" s="536">
        <f>E16</f>
        <v>125</v>
      </c>
      <c r="F23" s="536">
        <f>F16</f>
        <v>90.7</v>
      </c>
      <c r="G23" s="536">
        <f>G16</f>
        <v>117</v>
      </c>
      <c r="H23" s="536">
        <f>H16</f>
        <v>117</v>
      </c>
      <c r="I23" s="536">
        <f aca="true" t="shared" si="3" ref="I23:J29">H23</f>
        <v>117</v>
      </c>
      <c r="J23" s="537">
        <f t="shared" si="3"/>
        <v>117</v>
      </c>
    </row>
    <row r="24" spans="2:10" ht="14.25" customHeight="1">
      <c r="B24" s="531" t="s">
        <v>583</v>
      </c>
      <c r="C24" s="532" t="s">
        <v>584</v>
      </c>
      <c r="D24" s="533" t="s">
        <v>722</v>
      </c>
      <c r="E24" s="536">
        <f>'Расчет тарифов'!G19</f>
        <v>0</v>
      </c>
      <c r="F24" s="536">
        <f>'Расчет тарифов'!H19</f>
        <v>0</v>
      </c>
      <c r="G24" s="536">
        <f>'Расчет тарифов'!J19</f>
        <v>0</v>
      </c>
      <c r="H24" s="536">
        <f>'Расчет тарифов'!O19</f>
        <v>0</v>
      </c>
      <c r="I24" s="536">
        <f t="shared" si="3"/>
        <v>0</v>
      </c>
      <c r="J24" s="537">
        <f t="shared" si="3"/>
        <v>0</v>
      </c>
    </row>
    <row r="25" spans="2:10" s="514" customFormat="1" ht="30.75" customHeight="1">
      <c r="B25" s="531" t="s">
        <v>585</v>
      </c>
      <c r="C25" s="532" t="s">
        <v>586</v>
      </c>
      <c r="D25" s="533" t="s">
        <v>722</v>
      </c>
      <c r="E25" s="545"/>
      <c r="F25" s="545"/>
      <c r="G25" s="545"/>
      <c r="H25" s="545"/>
      <c r="I25" s="536">
        <f t="shared" si="3"/>
        <v>0</v>
      </c>
      <c r="J25" s="537">
        <f t="shared" si="3"/>
        <v>0</v>
      </c>
    </row>
    <row r="26" spans="2:10" ht="14.25" customHeight="1">
      <c r="B26" s="526" t="s">
        <v>353</v>
      </c>
      <c r="C26" s="527" t="s">
        <v>587</v>
      </c>
      <c r="D26" s="533" t="s">
        <v>722</v>
      </c>
      <c r="E26" s="534">
        <f>'Расчет тарифов'!G24</f>
        <v>3</v>
      </c>
      <c r="F26" s="534">
        <f>'Расчет тарифов'!H24</f>
        <v>3</v>
      </c>
      <c r="G26" s="534">
        <f>'Расчет тарифов'!J24</f>
        <v>3</v>
      </c>
      <c r="H26" s="534">
        <f>'Расчет тарифов'!O24</f>
        <v>3</v>
      </c>
      <c r="I26" s="534">
        <f t="shared" si="3"/>
        <v>3</v>
      </c>
      <c r="J26" s="535">
        <f t="shared" si="3"/>
        <v>3</v>
      </c>
    </row>
    <row r="27" spans="2:10" ht="14.25" customHeight="1">
      <c r="B27" s="526" t="s">
        <v>354</v>
      </c>
      <c r="C27" s="527" t="s">
        <v>808</v>
      </c>
      <c r="D27" s="533" t="s">
        <v>722</v>
      </c>
      <c r="E27" s="534">
        <f>'Расчет тарифов'!G20</f>
        <v>2</v>
      </c>
      <c r="F27" s="534">
        <f>'Расчет тарифов'!H20</f>
        <v>2</v>
      </c>
      <c r="G27" s="534">
        <f>'Расчет тарифов'!J20</f>
        <v>2</v>
      </c>
      <c r="H27" s="534">
        <f>'Расчет тарифов'!O20</f>
        <v>2</v>
      </c>
      <c r="I27" s="534">
        <f t="shared" si="3"/>
        <v>2</v>
      </c>
      <c r="J27" s="535">
        <f t="shared" si="3"/>
        <v>2</v>
      </c>
    </row>
    <row r="28" spans="2:10" ht="14.25" customHeight="1">
      <c r="B28" s="531" t="s">
        <v>420</v>
      </c>
      <c r="C28" s="532" t="s">
        <v>589</v>
      </c>
      <c r="D28" s="533" t="s">
        <v>722</v>
      </c>
      <c r="E28" s="536">
        <f>E22-E26-E27</f>
        <v>120</v>
      </c>
      <c r="F28" s="536">
        <f>F22-F26-F27</f>
        <v>85.7</v>
      </c>
      <c r="G28" s="536">
        <f>G22-G26-G27</f>
        <v>112</v>
      </c>
      <c r="H28" s="536">
        <f>H22-H26-H27</f>
        <v>112</v>
      </c>
      <c r="I28" s="536">
        <f t="shared" si="3"/>
        <v>112</v>
      </c>
      <c r="J28" s="537">
        <f t="shared" si="3"/>
        <v>112</v>
      </c>
    </row>
    <row r="29" spans="2:10" ht="30.75" customHeight="1">
      <c r="B29" s="531" t="s">
        <v>421</v>
      </c>
      <c r="C29" s="532" t="s">
        <v>590</v>
      </c>
      <c r="D29" s="533" t="s">
        <v>722</v>
      </c>
      <c r="E29" s="545"/>
      <c r="F29" s="545"/>
      <c r="G29" s="545"/>
      <c r="H29" s="545"/>
      <c r="I29" s="536">
        <f t="shared" si="3"/>
        <v>0</v>
      </c>
      <c r="J29" s="537">
        <f t="shared" si="3"/>
        <v>0</v>
      </c>
    </row>
    <row r="30" spans="2:10" ht="14.25" customHeight="1">
      <c r="B30" s="526">
        <v>4</v>
      </c>
      <c r="C30" s="527" t="s">
        <v>591</v>
      </c>
      <c r="D30" s="528"/>
      <c r="E30" s="540"/>
      <c r="F30" s="540"/>
      <c r="G30" s="540"/>
      <c r="H30" s="540"/>
      <c r="I30" s="536"/>
      <c r="J30" s="537"/>
    </row>
    <row r="31" spans="2:10" ht="14.25" customHeight="1">
      <c r="B31" s="531" t="s">
        <v>159</v>
      </c>
      <c r="C31" s="532" t="s">
        <v>592</v>
      </c>
      <c r="D31" s="533" t="s">
        <v>722</v>
      </c>
      <c r="E31" s="536">
        <f aca="true" t="shared" si="4" ref="E31:J31">E15</f>
        <v>0</v>
      </c>
      <c r="F31" s="536">
        <f t="shared" si="4"/>
        <v>0</v>
      </c>
      <c r="G31" s="536">
        <f t="shared" si="4"/>
        <v>0</v>
      </c>
      <c r="H31" s="536">
        <f t="shared" si="4"/>
        <v>0</v>
      </c>
      <c r="I31" s="536">
        <f t="shared" si="4"/>
        <v>0</v>
      </c>
      <c r="J31" s="537">
        <f t="shared" si="4"/>
        <v>0</v>
      </c>
    </row>
    <row r="32" spans="2:10" ht="18">
      <c r="B32" s="531" t="s">
        <v>161</v>
      </c>
      <c r="C32" s="532" t="s">
        <v>587</v>
      </c>
      <c r="D32" s="533" t="s">
        <v>722</v>
      </c>
      <c r="E32" s="545"/>
      <c r="F32" s="545"/>
      <c r="G32" s="545"/>
      <c r="H32" s="545"/>
      <c r="I32" s="536">
        <f>H32</f>
        <v>0</v>
      </c>
      <c r="J32" s="537">
        <f>I32</f>
        <v>0</v>
      </c>
    </row>
    <row r="33" spans="2:10" ht="14.25" customHeight="1">
      <c r="B33" s="531" t="s">
        <v>163</v>
      </c>
      <c r="C33" s="532" t="s">
        <v>588</v>
      </c>
      <c r="D33" s="533" t="s">
        <v>722</v>
      </c>
      <c r="E33" s="545"/>
      <c r="F33" s="545"/>
      <c r="G33" s="545"/>
      <c r="H33" s="545"/>
      <c r="I33" s="536">
        <f>H33</f>
        <v>0</v>
      </c>
      <c r="J33" s="537">
        <f>I33</f>
        <v>0</v>
      </c>
    </row>
    <row r="34" spans="2:10" ht="14.25" customHeight="1">
      <c r="B34" s="531" t="s">
        <v>227</v>
      </c>
      <c r="C34" s="532" t="s">
        <v>589</v>
      </c>
      <c r="D34" s="533" t="s">
        <v>722</v>
      </c>
      <c r="E34" s="536">
        <f aca="true" t="shared" si="5" ref="E34:J34">E31-E32-E33</f>
        <v>0</v>
      </c>
      <c r="F34" s="536">
        <f t="shared" si="5"/>
        <v>0</v>
      </c>
      <c r="G34" s="536">
        <f t="shared" si="5"/>
        <v>0</v>
      </c>
      <c r="H34" s="536">
        <f t="shared" si="5"/>
        <v>0</v>
      </c>
      <c r="I34" s="536">
        <f t="shared" si="5"/>
        <v>0</v>
      </c>
      <c r="J34" s="537">
        <f t="shared" si="5"/>
        <v>0</v>
      </c>
    </row>
    <row r="35" spans="2:10" ht="14.25" customHeight="1">
      <c r="B35" s="526">
        <v>5</v>
      </c>
      <c r="C35" s="527" t="s">
        <v>593</v>
      </c>
      <c r="D35" s="528"/>
      <c r="E35" s="540"/>
      <c r="F35" s="540"/>
      <c r="G35" s="540"/>
      <c r="H35" s="540"/>
      <c r="I35" s="536"/>
      <c r="J35" s="537"/>
    </row>
    <row r="36" spans="2:10" ht="14.25" customHeight="1">
      <c r="B36" s="531" t="s">
        <v>166</v>
      </c>
      <c r="C36" s="532" t="s">
        <v>592</v>
      </c>
      <c r="D36" s="533" t="s">
        <v>722</v>
      </c>
      <c r="E36" s="536">
        <f aca="true" t="shared" si="6" ref="E36:J36">E20</f>
        <v>0</v>
      </c>
      <c r="F36" s="536">
        <f t="shared" si="6"/>
        <v>0</v>
      </c>
      <c r="G36" s="536">
        <f t="shared" si="6"/>
        <v>0</v>
      </c>
      <c r="H36" s="536">
        <f t="shared" si="6"/>
        <v>0</v>
      </c>
      <c r="I36" s="536">
        <f t="shared" si="6"/>
        <v>0</v>
      </c>
      <c r="J36" s="536">
        <f t="shared" si="6"/>
        <v>0</v>
      </c>
    </row>
    <row r="37" spans="2:10" ht="18">
      <c r="B37" s="531" t="s">
        <v>167</v>
      </c>
      <c r="C37" s="532" t="s">
        <v>587</v>
      </c>
      <c r="D37" s="533" t="s">
        <v>722</v>
      </c>
      <c r="E37" s="545"/>
      <c r="F37" s="545"/>
      <c r="G37" s="545"/>
      <c r="H37" s="545"/>
      <c r="I37" s="536">
        <f>H37</f>
        <v>0</v>
      </c>
      <c r="J37" s="537">
        <f>I37</f>
        <v>0</v>
      </c>
    </row>
    <row r="38" spans="2:10" ht="14.25" customHeight="1">
      <c r="B38" s="531" t="s">
        <v>594</v>
      </c>
      <c r="C38" s="532" t="s">
        <v>588</v>
      </c>
      <c r="D38" s="533" t="s">
        <v>722</v>
      </c>
      <c r="E38" s="545"/>
      <c r="F38" s="545"/>
      <c r="G38" s="545"/>
      <c r="H38" s="545"/>
      <c r="I38" s="536">
        <f>H38</f>
        <v>0</v>
      </c>
      <c r="J38" s="537">
        <f>I38</f>
        <v>0</v>
      </c>
    </row>
    <row r="39" spans="2:10" ht="14.25" customHeight="1">
      <c r="B39" s="531" t="s">
        <v>595</v>
      </c>
      <c r="C39" s="532" t="s">
        <v>589</v>
      </c>
      <c r="D39" s="533" t="s">
        <v>722</v>
      </c>
      <c r="E39" s="536">
        <f aca="true" t="shared" si="7" ref="E39:J39">E36-E37-E38</f>
        <v>0</v>
      </c>
      <c r="F39" s="536">
        <f t="shared" si="7"/>
        <v>0</v>
      </c>
      <c r="G39" s="536">
        <f t="shared" si="7"/>
        <v>0</v>
      </c>
      <c r="H39" s="536">
        <f t="shared" si="7"/>
        <v>0</v>
      </c>
      <c r="I39" s="536">
        <f t="shared" si="7"/>
        <v>0</v>
      </c>
      <c r="J39" s="536">
        <f t="shared" si="7"/>
        <v>0</v>
      </c>
    </row>
    <row r="40" spans="2:10" ht="14.25" customHeight="1">
      <c r="B40" s="526">
        <v>6</v>
      </c>
      <c r="C40" s="527" t="s">
        <v>596</v>
      </c>
      <c r="D40" s="528"/>
      <c r="E40" s="542"/>
      <c r="F40" s="542"/>
      <c r="G40" s="542"/>
      <c r="H40" s="542"/>
      <c r="I40" s="536"/>
      <c r="J40" s="537"/>
    </row>
    <row r="41" spans="2:10" ht="14.25" customHeight="1">
      <c r="B41" s="531" t="s">
        <v>597</v>
      </c>
      <c r="C41" s="532" t="s">
        <v>598</v>
      </c>
      <c r="D41" s="533" t="s">
        <v>722</v>
      </c>
      <c r="E41" s="543">
        <f>IF((E42+E43)=E28,E28,"ошибка")</f>
        <v>120</v>
      </c>
      <c r="F41" s="543">
        <f>IF((F42+F43)=F28,F28,"ошибка")</f>
        <v>85.7</v>
      </c>
      <c r="G41" s="543">
        <f>IF((G42+G43)=G28,G28,"ошибка")</f>
        <v>112</v>
      </c>
      <c r="H41" s="543">
        <f>IF((H42+H43)=H28,H28,"ошибка")</f>
        <v>112</v>
      </c>
      <c r="I41" s="536">
        <f>I42+I43</f>
        <v>112</v>
      </c>
      <c r="J41" s="537">
        <f>J42+J43</f>
        <v>112</v>
      </c>
    </row>
    <row r="42" spans="2:10" ht="18">
      <c r="B42" s="531" t="s">
        <v>599</v>
      </c>
      <c r="C42" s="532" t="s">
        <v>600</v>
      </c>
      <c r="D42" s="533" t="s">
        <v>722</v>
      </c>
      <c r="E42" s="545">
        <v>120</v>
      </c>
      <c r="F42" s="545">
        <v>85.7</v>
      </c>
      <c r="G42" s="545">
        <v>112</v>
      </c>
      <c r="H42" s="545">
        <v>112</v>
      </c>
      <c r="I42" s="536">
        <f aca="true" t="shared" si="8" ref="I42:J61">H42</f>
        <v>112</v>
      </c>
      <c r="J42" s="537">
        <f t="shared" si="8"/>
        <v>112</v>
      </c>
    </row>
    <row r="43" spans="2:10" ht="18">
      <c r="B43" s="531" t="s">
        <v>601</v>
      </c>
      <c r="C43" s="532" t="s">
        <v>602</v>
      </c>
      <c r="D43" s="533" t="s">
        <v>722</v>
      </c>
      <c r="E43" s="545"/>
      <c r="F43" s="545"/>
      <c r="G43" s="545"/>
      <c r="H43" s="545"/>
      <c r="I43" s="536">
        <f t="shared" si="8"/>
        <v>0</v>
      </c>
      <c r="J43" s="537">
        <f t="shared" si="8"/>
        <v>0</v>
      </c>
    </row>
    <row r="44" spans="2:10" s="898" customFormat="1" ht="14.25" customHeight="1" hidden="1">
      <c r="B44" s="892" t="s">
        <v>603</v>
      </c>
      <c r="C44" s="893" t="s">
        <v>604</v>
      </c>
      <c r="D44" s="894" t="s">
        <v>722</v>
      </c>
      <c r="E44" s="895"/>
      <c r="F44" s="895"/>
      <c r="G44" s="895"/>
      <c r="H44" s="895"/>
      <c r="I44" s="896">
        <f t="shared" si="8"/>
        <v>0</v>
      </c>
      <c r="J44" s="897">
        <f t="shared" si="8"/>
        <v>0</v>
      </c>
    </row>
    <row r="45" spans="2:10" s="898" customFormat="1" ht="14.25" customHeight="1" hidden="1">
      <c r="B45" s="892" t="s">
        <v>605</v>
      </c>
      <c r="C45" s="893" t="s">
        <v>606</v>
      </c>
      <c r="D45" s="894" t="s">
        <v>722</v>
      </c>
      <c r="E45" s="895"/>
      <c r="F45" s="895"/>
      <c r="G45" s="895"/>
      <c r="H45" s="895"/>
      <c r="I45" s="896">
        <f t="shared" si="8"/>
        <v>0</v>
      </c>
      <c r="J45" s="897">
        <f t="shared" si="8"/>
        <v>0</v>
      </c>
    </row>
    <row r="46" spans="2:10" s="898" customFormat="1" ht="18" hidden="1">
      <c r="B46" s="892" t="s">
        <v>607</v>
      </c>
      <c r="C46" s="893" t="s">
        <v>608</v>
      </c>
      <c r="D46" s="894" t="s">
        <v>722</v>
      </c>
      <c r="E46" s="895"/>
      <c r="F46" s="895"/>
      <c r="G46" s="895"/>
      <c r="H46" s="895"/>
      <c r="I46" s="896">
        <f t="shared" si="8"/>
        <v>0</v>
      </c>
      <c r="J46" s="897">
        <f t="shared" si="8"/>
        <v>0</v>
      </c>
    </row>
    <row r="47" spans="2:10" ht="18">
      <c r="B47" s="531" t="s">
        <v>609</v>
      </c>
      <c r="C47" s="532" t="s">
        <v>610</v>
      </c>
      <c r="D47" s="533" t="s">
        <v>722</v>
      </c>
      <c r="E47" s="543">
        <f>IF((E48+E52)='Расчет тарифов'!G26,E41,"ошибка")</f>
        <v>120</v>
      </c>
      <c r="F47" s="543">
        <f>IF((F48+F52)='Расчет тарифов'!H26,F41,"ошибка")</f>
        <v>85.7</v>
      </c>
      <c r="G47" s="543">
        <f>IF((G48+G52)='Расчет тарифов'!J26,G41,"ошибка")</f>
        <v>112</v>
      </c>
      <c r="H47" s="543">
        <f>IF((H48+H52)='Расчет тарифов'!O26,H41,"ошибка")</f>
        <v>112</v>
      </c>
      <c r="I47" s="536">
        <f t="shared" si="8"/>
        <v>112</v>
      </c>
      <c r="J47" s="537">
        <f t="shared" si="8"/>
        <v>112</v>
      </c>
    </row>
    <row r="48" spans="2:10" ht="31.5" customHeight="1">
      <c r="B48" s="531" t="s">
        <v>611</v>
      </c>
      <c r="C48" s="532" t="s">
        <v>612</v>
      </c>
      <c r="D48" s="533" t="s">
        <v>722</v>
      </c>
      <c r="E48" s="536">
        <f>Абоненты!F11</f>
        <v>0</v>
      </c>
      <c r="F48" s="536">
        <f>Абоненты!G11</f>
        <v>0</v>
      </c>
      <c r="G48" s="536">
        <f>Абоненты!H11</f>
        <v>0</v>
      </c>
      <c r="H48" s="536">
        <f>Абоненты!I11</f>
        <v>0</v>
      </c>
      <c r="I48" s="536">
        <f t="shared" si="8"/>
        <v>0</v>
      </c>
      <c r="J48" s="537">
        <f t="shared" si="8"/>
        <v>0</v>
      </c>
    </row>
    <row r="49" spans="2:10" ht="18" hidden="1">
      <c r="B49" s="531" t="s">
        <v>613</v>
      </c>
      <c r="C49" s="532" t="s">
        <v>614</v>
      </c>
      <c r="D49" s="533" t="s">
        <v>722</v>
      </c>
      <c r="E49" s="545"/>
      <c r="F49" s="545"/>
      <c r="G49" s="545"/>
      <c r="H49" s="545"/>
      <c r="I49" s="536">
        <f t="shared" si="8"/>
        <v>0</v>
      </c>
      <c r="J49" s="537">
        <f t="shared" si="8"/>
        <v>0</v>
      </c>
    </row>
    <row r="50" spans="2:10" ht="18" hidden="1">
      <c r="B50" s="531" t="s">
        <v>615</v>
      </c>
      <c r="C50" s="532" t="s">
        <v>616</v>
      </c>
      <c r="D50" s="533" t="s">
        <v>722</v>
      </c>
      <c r="E50" s="545"/>
      <c r="F50" s="545"/>
      <c r="G50" s="545"/>
      <c r="H50" s="545"/>
      <c r="I50" s="536">
        <f t="shared" si="8"/>
        <v>0</v>
      </c>
      <c r="J50" s="537">
        <f t="shared" si="8"/>
        <v>0</v>
      </c>
    </row>
    <row r="51" spans="2:10" ht="18" hidden="1">
      <c r="B51" s="531" t="s">
        <v>617</v>
      </c>
      <c r="C51" s="532" t="s">
        <v>618</v>
      </c>
      <c r="D51" s="533" t="s">
        <v>722</v>
      </c>
      <c r="E51" s="545"/>
      <c r="F51" s="545"/>
      <c r="G51" s="545"/>
      <c r="H51" s="545"/>
      <c r="I51" s="536">
        <f t="shared" si="8"/>
        <v>0</v>
      </c>
      <c r="J51" s="537">
        <f t="shared" si="8"/>
        <v>0</v>
      </c>
    </row>
    <row r="52" spans="2:10" ht="14.25" customHeight="1">
      <c r="B52" s="531" t="s">
        <v>619</v>
      </c>
      <c r="C52" s="532" t="s">
        <v>809</v>
      </c>
      <c r="D52" s="533" t="s">
        <v>722</v>
      </c>
      <c r="E52" s="536">
        <f>E53+E54+E55+E56</f>
        <v>112</v>
      </c>
      <c r="F52" s="536">
        <f>F53+F54+F55+F56</f>
        <v>85.7</v>
      </c>
      <c r="G52" s="536">
        <f>G53+G54+G55+G56</f>
        <v>112</v>
      </c>
      <c r="H52" s="536">
        <f>H53+H54+H55+H56</f>
        <v>112</v>
      </c>
      <c r="I52" s="536">
        <f t="shared" si="8"/>
        <v>112</v>
      </c>
      <c r="J52" s="537">
        <f t="shared" si="8"/>
        <v>112</v>
      </c>
    </row>
    <row r="53" spans="2:10" ht="14.25" customHeight="1">
      <c r="B53" s="531" t="s">
        <v>811</v>
      </c>
      <c r="C53" s="532" t="s">
        <v>38</v>
      </c>
      <c r="D53" s="533" t="s">
        <v>815</v>
      </c>
      <c r="E53" s="536">
        <f>'Расчет тарифов'!G28</f>
        <v>80.6</v>
      </c>
      <c r="F53" s="536">
        <f>'Расчет тарифов'!H28</f>
        <v>55.7</v>
      </c>
      <c r="G53" s="536">
        <f>'Расчет тарифов'!J28</f>
        <v>80.6</v>
      </c>
      <c r="H53" s="536">
        <f>'Расчет тарифов'!O28</f>
        <v>80.6</v>
      </c>
      <c r="I53" s="536">
        <f t="shared" si="8"/>
        <v>80.6</v>
      </c>
      <c r="J53" s="537">
        <f t="shared" si="8"/>
        <v>80.6</v>
      </c>
    </row>
    <row r="54" spans="2:10" ht="14.25" customHeight="1">
      <c r="B54" s="531" t="s">
        <v>812</v>
      </c>
      <c r="C54" s="532" t="s">
        <v>810</v>
      </c>
      <c r="D54" s="533" t="s">
        <v>816</v>
      </c>
      <c r="E54" s="536">
        <f>'Расчет тарифов'!G29</f>
        <v>0</v>
      </c>
      <c r="F54" s="536">
        <f>'Расчет тарифов'!H29</f>
        <v>0</v>
      </c>
      <c r="G54" s="536">
        <f>'Расчет тарифов'!J29</f>
        <v>0</v>
      </c>
      <c r="H54" s="536">
        <f>'Расчет тарифов'!O29</f>
        <v>0</v>
      </c>
      <c r="I54" s="536">
        <f t="shared" si="8"/>
        <v>0</v>
      </c>
      <c r="J54" s="537">
        <f t="shared" si="8"/>
        <v>0</v>
      </c>
    </row>
    <row r="55" spans="2:10" ht="14.25" customHeight="1">
      <c r="B55" s="531" t="s">
        <v>813</v>
      </c>
      <c r="C55" s="532" t="s">
        <v>225</v>
      </c>
      <c r="D55" s="533" t="s">
        <v>817</v>
      </c>
      <c r="E55" s="536">
        <f>'Расчет тарифов'!G30</f>
        <v>31.4</v>
      </c>
      <c r="F55" s="536">
        <f>'Расчет тарифов'!H30</f>
        <v>30</v>
      </c>
      <c r="G55" s="536">
        <f>'Расчет тарифов'!J30</f>
        <v>31.4</v>
      </c>
      <c r="H55" s="536">
        <f>'Расчет тарифов'!O30</f>
        <v>31.4</v>
      </c>
      <c r="I55" s="536">
        <f t="shared" si="8"/>
        <v>31.4</v>
      </c>
      <c r="J55" s="537">
        <f t="shared" si="8"/>
        <v>31.4</v>
      </c>
    </row>
    <row r="56" spans="2:10" ht="14.25" customHeight="1">
      <c r="B56" s="531" t="s">
        <v>814</v>
      </c>
      <c r="C56" s="532" t="s">
        <v>44</v>
      </c>
      <c r="D56" s="533" t="s">
        <v>818</v>
      </c>
      <c r="E56" s="536">
        <f>'Расчет тарифов'!G31</f>
        <v>0</v>
      </c>
      <c r="F56" s="536">
        <f>'Расчет тарифов'!H31</f>
        <v>0</v>
      </c>
      <c r="G56" s="536">
        <f>'Расчет тарифов'!J31</f>
        <v>0</v>
      </c>
      <c r="H56" s="536">
        <f>'Расчет тарифов'!O31</f>
        <v>0</v>
      </c>
      <c r="I56" s="536">
        <f t="shared" si="8"/>
        <v>0</v>
      </c>
      <c r="J56" s="537">
        <f t="shared" si="8"/>
        <v>0</v>
      </c>
    </row>
    <row r="57" spans="2:10" ht="14.25" customHeight="1">
      <c r="B57" s="526" t="s">
        <v>174</v>
      </c>
      <c r="C57" s="527" t="s">
        <v>621</v>
      </c>
      <c r="D57" s="528"/>
      <c r="E57" s="540"/>
      <c r="F57" s="540"/>
      <c r="G57" s="540"/>
      <c r="H57" s="540"/>
      <c r="I57" s="536">
        <f t="shared" si="8"/>
        <v>0</v>
      </c>
      <c r="J57" s="537">
        <f t="shared" si="8"/>
        <v>0</v>
      </c>
    </row>
    <row r="58" spans="2:10" ht="14.25" customHeight="1">
      <c r="B58" s="531" t="s">
        <v>176</v>
      </c>
      <c r="C58" s="532" t="s">
        <v>622</v>
      </c>
      <c r="D58" s="533" t="s">
        <v>722</v>
      </c>
      <c r="E58" s="536">
        <f>IF(E61=E34,E61,"ошибка")</f>
        <v>0</v>
      </c>
      <c r="F58" s="536">
        <f>IF(F61=F34,F61,"ошибка")</f>
        <v>0</v>
      </c>
      <c r="G58" s="536">
        <f>IF(G61=G34,G61,"ошибка")</f>
        <v>0</v>
      </c>
      <c r="H58" s="536">
        <f>IF(H61=H34,H61,"ошибка")</f>
        <v>0</v>
      </c>
      <c r="I58" s="536">
        <f t="shared" si="8"/>
        <v>0</v>
      </c>
      <c r="J58" s="537">
        <f t="shared" si="8"/>
        <v>0</v>
      </c>
    </row>
    <row r="59" spans="2:10" ht="14.25" customHeight="1" hidden="1">
      <c r="B59" s="531" t="s">
        <v>178</v>
      </c>
      <c r="C59" s="532" t="s">
        <v>606</v>
      </c>
      <c r="D59" s="533" t="s">
        <v>722</v>
      </c>
      <c r="E59" s="545"/>
      <c r="F59" s="545"/>
      <c r="G59" s="545"/>
      <c r="H59" s="545"/>
      <c r="I59" s="536">
        <f t="shared" si="8"/>
        <v>0</v>
      </c>
      <c r="J59" s="537">
        <f t="shared" si="8"/>
        <v>0</v>
      </c>
    </row>
    <row r="60" spans="2:10" ht="18" hidden="1">
      <c r="B60" s="531" t="s">
        <v>623</v>
      </c>
      <c r="C60" s="532" t="s">
        <v>608</v>
      </c>
      <c r="D60" s="533" t="s">
        <v>722</v>
      </c>
      <c r="E60" s="545"/>
      <c r="F60" s="545"/>
      <c r="G60" s="545"/>
      <c r="H60" s="545"/>
      <c r="I60" s="536">
        <f t="shared" si="8"/>
        <v>0</v>
      </c>
      <c r="J60" s="537">
        <f t="shared" si="8"/>
        <v>0</v>
      </c>
    </row>
    <row r="61" spans="2:10" ht="18">
      <c r="B61" s="531" t="s">
        <v>180</v>
      </c>
      <c r="C61" s="532" t="s">
        <v>610</v>
      </c>
      <c r="D61" s="533" t="s">
        <v>722</v>
      </c>
      <c r="E61" s="543">
        <f>E62+E66</f>
        <v>0</v>
      </c>
      <c r="F61" s="543">
        <f>F62+F66</f>
        <v>0</v>
      </c>
      <c r="G61" s="543">
        <f>G62+G66</f>
        <v>0</v>
      </c>
      <c r="H61" s="543">
        <f>H62+H66</f>
        <v>0</v>
      </c>
      <c r="I61" s="536">
        <f t="shared" si="8"/>
        <v>0</v>
      </c>
      <c r="J61" s="537">
        <f t="shared" si="8"/>
        <v>0</v>
      </c>
    </row>
    <row r="62" spans="2:10" ht="28.5" customHeight="1">
      <c r="B62" s="531" t="s">
        <v>624</v>
      </c>
      <c r="C62" s="532" t="s">
        <v>612</v>
      </c>
      <c r="D62" s="533" t="s">
        <v>722</v>
      </c>
      <c r="E62" s="545"/>
      <c r="F62" s="545"/>
      <c r="G62" s="545"/>
      <c r="H62" s="545"/>
      <c r="I62" s="536">
        <f aca="true" t="shared" si="9" ref="I62:J81">H62</f>
        <v>0</v>
      </c>
      <c r="J62" s="537">
        <f t="shared" si="9"/>
        <v>0</v>
      </c>
    </row>
    <row r="63" spans="2:10" ht="18" hidden="1">
      <c r="B63" s="531" t="s">
        <v>625</v>
      </c>
      <c r="C63" s="532" t="s">
        <v>614</v>
      </c>
      <c r="D63" s="533" t="s">
        <v>722</v>
      </c>
      <c r="E63" s="545"/>
      <c r="F63" s="545"/>
      <c r="G63" s="545"/>
      <c r="H63" s="545"/>
      <c r="I63" s="536">
        <f t="shared" si="9"/>
        <v>0</v>
      </c>
      <c r="J63" s="537">
        <f t="shared" si="9"/>
        <v>0</v>
      </c>
    </row>
    <row r="64" spans="2:10" ht="18" hidden="1">
      <c r="B64" s="531" t="s">
        <v>626</v>
      </c>
      <c r="C64" s="532" t="s">
        <v>616</v>
      </c>
      <c r="D64" s="533" t="s">
        <v>722</v>
      </c>
      <c r="E64" s="545"/>
      <c r="F64" s="545"/>
      <c r="G64" s="545"/>
      <c r="H64" s="545"/>
      <c r="I64" s="536">
        <f t="shared" si="9"/>
        <v>0</v>
      </c>
      <c r="J64" s="537">
        <f t="shared" si="9"/>
        <v>0</v>
      </c>
    </row>
    <row r="65" spans="2:10" ht="18" hidden="1">
      <c r="B65" s="531" t="s">
        <v>627</v>
      </c>
      <c r="C65" s="532" t="s">
        <v>618</v>
      </c>
      <c r="D65" s="533" t="s">
        <v>722</v>
      </c>
      <c r="E65" s="545"/>
      <c r="F65" s="545"/>
      <c r="G65" s="545"/>
      <c r="H65" s="545"/>
      <c r="I65" s="536">
        <f t="shared" si="9"/>
        <v>0</v>
      </c>
      <c r="J65" s="537">
        <f t="shared" si="9"/>
        <v>0</v>
      </c>
    </row>
    <row r="66" spans="2:10" ht="14.25" customHeight="1">
      <c r="B66" s="531" t="s">
        <v>628</v>
      </c>
      <c r="C66" s="532" t="s">
        <v>620</v>
      </c>
      <c r="D66" s="533" t="s">
        <v>722</v>
      </c>
      <c r="E66" s="545"/>
      <c r="F66" s="545"/>
      <c r="G66" s="545"/>
      <c r="H66" s="545"/>
      <c r="I66" s="536">
        <f t="shared" si="9"/>
        <v>0</v>
      </c>
      <c r="J66" s="537">
        <f t="shared" si="9"/>
        <v>0</v>
      </c>
    </row>
    <row r="67" spans="2:10" ht="15">
      <c r="B67" s="526" t="s">
        <v>187</v>
      </c>
      <c r="C67" s="527" t="s">
        <v>629</v>
      </c>
      <c r="D67" s="528"/>
      <c r="E67" s="540"/>
      <c r="F67" s="540"/>
      <c r="G67" s="540"/>
      <c r="H67" s="540"/>
      <c r="I67" s="536">
        <f t="shared" si="9"/>
        <v>0</v>
      </c>
      <c r="J67" s="537">
        <f t="shared" si="9"/>
        <v>0</v>
      </c>
    </row>
    <row r="68" spans="2:10" ht="14.25" customHeight="1">
      <c r="B68" s="531" t="s">
        <v>630</v>
      </c>
      <c r="C68" s="532" t="s">
        <v>622</v>
      </c>
      <c r="D68" s="533" t="s">
        <v>722</v>
      </c>
      <c r="E68" s="543">
        <f>E69+E70</f>
        <v>0</v>
      </c>
      <c r="F68" s="543">
        <f>F69+F70</f>
        <v>0</v>
      </c>
      <c r="G68" s="543">
        <f>G69+G70</f>
        <v>0</v>
      </c>
      <c r="H68" s="543">
        <f>H69+H70</f>
        <v>0</v>
      </c>
      <c r="I68" s="536">
        <f t="shared" si="9"/>
        <v>0</v>
      </c>
      <c r="J68" s="537">
        <f t="shared" si="9"/>
        <v>0</v>
      </c>
    </row>
    <row r="69" spans="2:10" ht="18">
      <c r="B69" s="531" t="s">
        <v>631</v>
      </c>
      <c r="C69" s="532" t="s">
        <v>600</v>
      </c>
      <c r="D69" s="533" t="s">
        <v>722</v>
      </c>
      <c r="E69" s="545"/>
      <c r="F69" s="545"/>
      <c r="G69" s="545"/>
      <c r="H69" s="545"/>
      <c r="I69" s="536">
        <f t="shared" si="9"/>
        <v>0</v>
      </c>
      <c r="J69" s="537">
        <f t="shared" si="9"/>
        <v>0</v>
      </c>
    </row>
    <row r="70" spans="2:10" ht="18">
      <c r="B70" s="531" t="s">
        <v>632</v>
      </c>
      <c r="C70" s="532" t="s">
        <v>602</v>
      </c>
      <c r="D70" s="533" t="s">
        <v>722</v>
      </c>
      <c r="E70" s="545"/>
      <c r="F70" s="545"/>
      <c r="G70" s="545"/>
      <c r="H70" s="545"/>
      <c r="I70" s="536">
        <f t="shared" si="9"/>
        <v>0</v>
      </c>
      <c r="J70" s="537">
        <f t="shared" si="9"/>
        <v>0</v>
      </c>
    </row>
    <row r="71" spans="2:10" ht="14.25" customHeight="1">
      <c r="B71" s="531" t="s">
        <v>633</v>
      </c>
      <c r="C71" s="532" t="s">
        <v>634</v>
      </c>
      <c r="D71" s="533" t="s">
        <v>722</v>
      </c>
      <c r="E71" s="544"/>
      <c r="F71" s="544"/>
      <c r="G71" s="544"/>
      <c r="H71" s="544"/>
      <c r="I71" s="536">
        <f t="shared" si="9"/>
        <v>0</v>
      </c>
      <c r="J71" s="537">
        <f t="shared" si="9"/>
        <v>0</v>
      </c>
    </row>
    <row r="72" spans="2:10" ht="14.25" customHeight="1">
      <c r="B72" s="531" t="s">
        <v>635</v>
      </c>
      <c r="C72" s="532" t="s">
        <v>636</v>
      </c>
      <c r="D72" s="533" t="s">
        <v>722</v>
      </c>
      <c r="E72" s="543">
        <f>E74+E73</f>
        <v>0</v>
      </c>
      <c r="F72" s="543">
        <f>F74+F73</f>
        <v>0</v>
      </c>
      <c r="G72" s="543">
        <f>G74+G73</f>
        <v>0</v>
      </c>
      <c r="H72" s="543">
        <f>H74+H73</f>
        <v>0</v>
      </c>
      <c r="I72" s="536">
        <f t="shared" si="9"/>
        <v>0</v>
      </c>
      <c r="J72" s="537">
        <f t="shared" si="9"/>
        <v>0</v>
      </c>
    </row>
    <row r="73" spans="2:10" ht="18">
      <c r="B73" s="531" t="s">
        <v>637</v>
      </c>
      <c r="C73" s="532" t="s">
        <v>638</v>
      </c>
      <c r="D73" s="533" t="s">
        <v>722</v>
      </c>
      <c r="E73" s="545"/>
      <c r="F73" s="545"/>
      <c r="G73" s="545"/>
      <c r="H73" s="545"/>
      <c r="I73" s="536">
        <f t="shared" si="9"/>
        <v>0</v>
      </c>
      <c r="J73" s="537">
        <f t="shared" si="9"/>
        <v>0</v>
      </c>
    </row>
    <row r="74" spans="2:10" ht="18">
      <c r="B74" s="531" t="s">
        <v>639</v>
      </c>
      <c r="C74" s="532" t="s">
        <v>640</v>
      </c>
      <c r="D74" s="533" t="s">
        <v>722</v>
      </c>
      <c r="E74" s="545"/>
      <c r="F74" s="545"/>
      <c r="G74" s="545"/>
      <c r="H74" s="545"/>
      <c r="I74" s="536">
        <f t="shared" si="9"/>
        <v>0</v>
      </c>
      <c r="J74" s="537">
        <f t="shared" si="9"/>
        <v>0</v>
      </c>
    </row>
    <row r="75" spans="2:10" ht="14.25" customHeight="1" hidden="1">
      <c r="B75" s="531" t="s">
        <v>641</v>
      </c>
      <c r="C75" s="532" t="s">
        <v>606</v>
      </c>
      <c r="D75" s="533" t="s">
        <v>722</v>
      </c>
      <c r="E75" s="545"/>
      <c r="F75" s="545"/>
      <c r="G75" s="545"/>
      <c r="H75" s="545"/>
      <c r="I75" s="536">
        <f t="shared" si="9"/>
        <v>0</v>
      </c>
      <c r="J75" s="537">
        <f t="shared" si="9"/>
        <v>0</v>
      </c>
    </row>
    <row r="76" spans="2:10" ht="18" hidden="1">
      <c r="B76" s="531" t="s">
        <v>642</v>
      </c>
      <c r="C76" s="532" t="s">
        <v>608</v>
      </c>
      <c r="D76" s="533" t="s">
        <v>722</v>
      </c>
      <c r="E76" s="545"/>
      <c r="F76" s="545"/>
      <c r="G76" s="545"/>
      <c r="H76" s="545"/>
      <c r="I76" s="536">
        <f t="shared" si="9"/>
        <v>0</v>
      </c>
      <c r="J76" s="537">
        <f t="shared" si="9"/>
        <v>0</v>
      </c>
    </row>
    <row r="77" spans="2:10" ht="18">
      <c r="B77" s="531" t="s">
        <v>643</v>
      </c>
      <c r="C77" s="532" t="s">
        <v>610</v>
      </c>
      <c r="D77" s="533" t="s">
        <v>722</v>
      </c>
      <c r="E77" s="543">
        <f>E78+E82</f>
        <v>0</v>
      </c>
      <c r="F77" s="543">
        <f>F78+F82</f>
        <v>0</v>
      </c>
      <c r="G77" s="543">
        <f>G78+G82</f>
        <v>0</v>
      </c>
      <c r="H77" s="543">
        <f>H78+H82</f>
        <v>0</v>
      </c>
      <c r="I77" s="536">
        <f t="shared" si="9"/>
        <v>0</v>
      </c>
      <c r="J77" s="537">
        <f t="shared" si="9"/>
        <v>0</v>
      </c>
    </row>
    <row r="78" spans="2:10" ht="27" customHeight="1">
      <c r="B78" s="531" t="s">
        <v>644</v>
      </c>
      <c r="C78" s="532" t="s">
        <v>612</v>
      </c>
      <c r="D78" s="533" t="s">
        <v>722</v>
      </c>
      <c r="E78" s="545"/>
      <c r="F78" s="545"/>
      <c r="G78" s="545"/>
      <c r="H78" s="545"/>
      <c r="I78" s="536">
        <f t="shared" si="9"/>
        <v>0</v>
      </c>
      <c r="J78" s="537">
        <f t="shared" si="9"/>
        <v>0</v>
      </c>
    </row>
    <row r="79" spans="2:10" ht="18" hidden="1">
      <c r="B79" s="531" t="s">
        <v>645</v>
      </c>
      <c r="C79" s="532" t="s">
        <v>614</v>
      </c>
      <c r="D79" s="533" t="s">
        <v>722</v>
      </c>
      <c r="E79" s="545"/>
      <c r="F79" s="545"/>
      <c r="G79" s="545"/>
      <c r="H79" s="545"/>
      <c r="I79" s="536">
        <f t="shared" si="9"/>
        <v>0</v>
      </c>
      <c r="J79" s="537">
        <f t="shared" si="9"/>
        <v>0</v>
      </c>
    </row>
    <row r="80" spans="2:10" ht="18" hidden="1">
      <c r="B80" s="531" t="s">
        <v>646</v>
      </c>
      <c r="C80" s="532" t="s">
        <v>616</v>
      </c>
      <c r="D80" s="533" t="s">
        <v>722</v>
      </c>
      <c r="E80" s="545"/>
      <c r="F80" s="545"/>
      <c r="G80" s="545"/>
      <c r="H80" s="545"/>
      <c r="I80" s="536">
        <f t="shared" si="9"/>
        <v>0</v>
      </c>
      <c r="J80" s="537">
        <f t="shared" si="9"/>
        <v>0</v>
      </c>
    </row>
    <row r="81" spans="2:10" ht="18" hidden="1">
      <c r="B81" s="531" t="s">
        <v>647</v>
      </c>
      <c r="C81" s="532" t="s">
        <v>618</v>
      </c>
      <c r="D81" s="533" t="s">
        <v>722</v>
      </c>
      <c r="E81" s="545"/>
      <c r="F81" s="545"/>
      <c r="G81" s="545"/>
      <c r="H81" s="545"/>
      <c r="I81" s="536">
        <f t="shared" si="9"/>
        <v>0</v>
      </c>
      <c r="J81" s="537">
        <f t="shared" si="9"/>
        <v>0</v>
      </c>
    </row>
    <row r="82" spans="2:10" ht="14.25" customHeight="1">
      <c r="B82" s="531" t="s">
        <v>648</v>
      </c>
      <c r="C82" s="532" t="s">
        <v>620</v>
      </c>
      <c r="D82" s="533" t="s">
        <v>722</v>
      </c>
      <c r="E82" s="545"/>
      <c r="F82" s="545"/>
      <c r="G82" s="545"/>
      <c r="H82" s="545"/>
      <c r="I82" s="536">
        <f aca="true" t="shared" si="10" ref="I82:J86">H82</f>
        <v>0</v>
      </c>
      <c r="J82" s="537">
        <f t="shared" si="10"/>
        <v>0</v>
      </c>
    </row>
    <row r="83" spans="2:10" ht="14.25" customHeight="1">
      <c r="B83" s="526" t="s">
        <v>189</v>
      </c>
      <c r="C83" s="527" t="s">
        <v>649</v>
      </c>
      <c r="D83" s="528"/>
      <c r="E83" s="540"/>
      <c r="F83" s="540"/>
      <c r="G83" s="540"/>
      <c r="H83" s="540"/>
      <c r="I83" s="536">
        <f t="shared" si="10"/>
        <v>0</v>
      </c>
      <c r="J83" s="537">
        <f t="shared" si="10"/>
        <v>0</v>
      </c>
    </row>
    <row r="84" spans="2:10" ht="28.5" customHeight="1">
      <c r="B84" s="531" t="s">
        <v>500</v>
      </c>
      <c r="C84" s="532" t="s">
        <v>650</v>
      </c>
      <c r="D84" s="533" t="s">
        <v>722</v>
      </c>
      <c r="E84" s="545"/>
      <c r="F84" s="545"/>
      <c r="G84" s="545"/>
      <c r="H84" s="545"/>
      <c r="I84" s="536">
        <f t="shared" si="10"/>
        <v>0</v>
      </c>
      <c r="J84" s="537">
        <f t="shared" si="10"/>
        <v>0</v>
      </c>
    </row>
    <row r="85" spans="2:10" ht="30.75" customHeight="1">
      <c r="B85" s="531" t="s">
        <v>503</v>
      </c>
      <c r="C85" s="532" t="s">
        <v>651</v>
      </c>
      <c r="D85" s="533" t="s">
        <v>722</v>
      </c>
      <c r="E85" s="545"/>
      <c r="F85" s="545"/>
      <c r="G85" s="545"/>
      <c r="H85" s="545"/>
      <c r="I85" s="536">
        <f t="shared" si="10"/>
        <v>0</v>
      </c>
      <c r="J85" s="537">
        <f t="shared" si="10"/>
        <v>0</v>
      </c>
    </row>
    <row r="86" spans="2:10" ht="57.75" customHeight="1">
      <c r="B86" s="526" t="s">
        <v>191</v>
      </c>
      <c r="C86" s="527" t="s">
        <v>652</v>
      </c>
      <c r="D86" s="533" t="s">
        <v>722</v>
      </c>
      <c r="E86" s="546"/>
      <c r="F86" s="546"/>
      <c r="G86" s="546"/>
      <c r="H86" s="546"/>
      <c r="I86" s="536">
        <f t="shared" si="10"/>
        <v>0</v>
      </c>
      <c r="J86" s="537">
        <f t="shared" si="10"/>
        <v>0</v>
      </c>
    </row>
    <row r="87" spans="2:10" s="991" customFormat="1" ht="14.25" customHeight="1" thickBot="1">
      <c r="B87" s="985" t="s">
        <v>193</v>
      </c>
      <c r="C87" s="986" t="s">
        <v>653</v>
      </c>
      <c r="D87" s="987" t="s">
        <v>23</v>
      </c>
      <c r="E87" s="988"/>
      <c r="F87" s="988"/>
      <c r="G87" s="988"/>
      <c r="H87" s="988"/>
      <c r="I87" s="989"/>
      <c r="J87" s="990"/>
    </row>
    <row r="90" spans="2:3" s="343" customFormat="1" ht="15">
      <c r="B90" s="512"/>
      <c r="C90" s="343" t="s">
        <v>654</v>
      </c>
    </row>
    <row r="91" spans="5:7" ht="15">
      <c r="E91" s="1029"/>
      <c r="F91" s="1029"/>
      <c r="G91" s="1033"/>
    </row>
    <row r="92" spans="5:7" ht="15">
      <c r="E92" s="348" t="s">
        <v>1</v>
      </c>
      <c r="F92" s="343"/>
      <c r="G92" s="506"/>
    </row>
    <row r="93" spans="3:7" ht="15">
      <c r="C93" s="1497" t="s">
        <v>215</v>
      </c>
      <c r="D93" s="1497"/>
      <c r="E93" s="1032" t="s">
        <v>217</v>
      </c>
      <c r="F93" s="1030"/>
      <c r="G93" s="1030"/>
    </row>
    <row r="94" spans="3:7" ht="15">
      <c r="C94" s="504"/>
      <c r="D94" s="504"/>
      <c r="E94" s="1030"/>
      <c r="F94" s="1030"/>
      <c r="G94" s="1030"/>
    </row>
    <row r="95" spans="3:7" ht="15">
      <c r="C95" s="504"/>
      <c r="D95" s="504"/>
      <c r="E95" s="343"/>
      <c r="F95" s="343" t="s">
        <v>988</v>
      </c>
      <c r="G95" s="343"/>
    </row>
    <row r="96" spans="3:6" ht="15">
      <c r="C96" s="1497" t="s">
        <v>216</v>
      </c>
      <c r="D96" s="1497"/>
      <c r="E96" s="1499"/>
      <c r="F96" s="1499"/>
    </row>
    <row r="97" spans="3:6" ht="15">
      <c r="C97" s="1500" t="s">
        <v>218</v>
      </c>
      <c r="D97" s="1500"/>
      <c r="E97" s="1499"/>
      <c r="F97" s="1499"/>
    </row>
    <row r="98" spans="5:6" ht="15">
      <c r="E98" s="1498"/>
      <c r="F98" s="1498"/>
    </row>
  </sheetData>
  <sheetProtection password="CF4E" sheet="1" objects="1" scenarios="1"/>
  <mergeCells count="12">
    <mergeCell ref="D6:D7"/>
    <mergeCell ref="E6:F6"/>
    <mergeCell ref="C93:D93"/>
    <mergeCell ref="E98:F98"/>
    <mergeCell ref="C96:D96"/>
    <mergeCell ref="E96:F97"/>
    <mergeCell ref="C97:D97"/>
    <mergeCell ref="B2:I2"/>
    <mergeCell ref="B3:I3"/>
    <mergeCell ref="B4:I4"/>
    <mergeCell ref="B6:B7"/>
    <mergeCell ref="C6:C7"/>
  </mergeCells>
  <printOptions/>
  <pageMargins left="0.1968503937007874" right="0.11811023622047245" top="0.15748031496062992" bottom="0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komcenadmin</dc:creator>
  <cp:keywords/>
  <dc:description/>
  <cp:lastModifiedBy>User</cp:lastModifiedBy>
  <cp:lastPrinted>2016-04-19T13:41:36Z</cp:lastPrinted>
  <dcterms:created xsi:type="dcterms:W3CDTF">2014-09-09T09:48:17Z</dcterms:created>
  <dcterms:modified xsi:type="dcterms:W3CDTF">2016-04-28T05:46:04Z</dcterms:modified>
  <cp:category/>
  <cp:version/>
  <cp:contentType/>
  <cp:contentStatus/>
</cp:coreProperties>
</file>